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BACKUP 10-19-2022\LOAN MATTERS2022\SIPB Q3\"/>
    </mc:Choice>
  </mc:AlternateContent>
  <xr:revisionPtr revIDLastSave="0" documentId="13_ncr:1_{5DAAF2C6-36D8-431F-8ACB-D80F44D6F69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L 5-Paid" sheetId="28" r:id="rId1"/>
    <sheet name="TL 11" sheetId="21" r:id="rId2"/>
    <sheet name="TL 12" sheetId="22" r:id="rId3"/>
    <sheet name="TL 13" sheetId="23" r:id="rId4"/>
    <sheet name="TL 14" sheetId="16" r:id="rId5"/>
    <sheet name="TL 15" sheetId="17" r:id="rId6"/>
    <sheet name="TL 16" sheetId="18" r:id="rId7"/>
    <sheet name="TL 17" sheetId="36" r:id="rId8"/>
    <sheet name="TL 18 " sheetId="20" r:id="rId9"/>
    <sheet name="TL 19" sheetId="29" r:id="rId10"/>
    <sheet name="TL 20" sheetId="31" r:id="rId11"/>
    <sheet name="TL 22" sheetId="32" r:id="rId12"/>
    <sheet name="TL 23" sheetId="33" r:id="rId13"/>
    <sheet name="TL 24" sheetId="37" r:id="rId14"/>
    <sheet name="TL 26" sheetId="34" r:id="rId15"/>
    <sheet name="TL 27" sheetId="35" r:id="rId16"/>
    <sheet name="TL 28" sheetId="38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8" l="1"/>
  <c r="C36" i="28" s="1"/>
  <c r="C27" i="28"/>
  <c r="C36" i="38"/>
  <c r="C18" i="38"/>
  <c r="C36" i="20"/>
  <c r="C31" i="20"/>
  <c r="C36" i="18"/>
  <c r="C36" i="17"/>
  <c r="C36" i="16"/>
  <c r="C18" i="16"/>
  <c r="C36" i="22"/>
  <c r="C18" i="22"/>
  <c r="C36" i="21"/>
  <c r="C18" i="21"/>
  <c r="E34" i="35"/>
  <c r="C28" i="20"/>
  <c r="C27" i="20"/>
  <c r="C32" i="20" l="1"/>
  <c r="C32" i="38"/>
  <c r="C31" i="38"/>
  <c r="C32" i="35"/>
  <c r="C31" i="35"/>
  <c r="C32" i="34"/>
  <c r="C36" i="34"/>
  <c r="C32" i="37"/>
  <c r="F36" i="37"/>
  <c r="C31" i="37"/>
  <c r="C32" i="33"/>
  <c r="C31" i="33"/>
  <c r="C36" i="32"/>
  <c r="C32" i="32"/>
  <c r="C31" i="32"/>
  <c r="C32" i="31"/>
  <c r="C36" i="29"/>
  <c r="C32" i="29"/>
  <c r="C31" i="29"/>
  <c r="C32" i="36"/>
  <c r="C34" i="36"/>
  <c r="C35" i="36" s="1"/>
  <c r="C28" i="18"/>
  <c r="C31" i="18"/>
  <c r="C32" i="17"/>
  <c r="C31" i="17"/>
  <c r="C32" i="16"/>
  <c r="C31" i="16"/>
  <c r="C31" i="23"/>
  <c r="D36" i="23" s="1"/>
  <c r="C32" i="22"/>
  <c r="C31" i="22"/>
  <c r="C32" i="21"/>
  <c r="C31" i="21"/>
  <c r="C34" i="34"/>
  <c r="C34" i="37"/>
  <c r="C34" i="21"/>
  <c r="F35" i="36" l="1"/>
  <c r="C42" i="34" l="1"/>
  <c r="C42" i="37"/>
  <c r="F42" i="37"/>
  <c r="C42" i="31"/>
  <c r="C42" i="20"/>
  <c r="C42" i="36"/>
  <c r="C34" i="38" l="1"/>
  <c r="C42" i="33"/>
  <c r="C36" i="33"/>
  <c r="C35" i="33"/>
  <c r="C34" i="33"/>
  <c r="C32" i="18" l="1"/>
  <c r="C32" i="28"/>
  <c r="C28" i="28"/>
  <c r="C42" i="38"/>
  <c r="C42" i="35"/>
  <c r="C34" i="35"/>
  <c r="C42" i="32"/>
  <c r="C34" i="32"/>
  <c r="C36" i="31"/>
  <c r="C36" i="36" l="1"/>
  <c r="C36" i="23"/>
  <c r="C36" i="35"/>
  <c r="C35" i="35"/>
  <c r="C35" i="34"/>
  <c r="C35" i="37"/>
  <c r="C36" i="37"/>
  <c r="C35" i="32"/>
  <c r="C35" i="29"/>
  <c r="D28" i="22" l="1"/>
  <c r="C35" i="23"/>
  <c r="C11" i="22" l="1"/>
  <c r="C11" i="23" s="1"/>
  <c r="C11" i="16" s="1"/>
  <c r="C11" i="17" s="1"/>
  <c r="B48" i="22"/>
  <c r="B48" i="23" s="1"/>
  <c r="B48" i="16" s="1"/>
  <c r="B48" i="17" s="1"/>
  <c r="B49" i="22"/>
  <c r="B49" i="23" s="1"/>
  <c r="B49" i="16" s="1"/>
  <c r="B49" i="17" s="1"/>
  <c r="B49" i="18" l="1"/>
  <c r="B49" i="20" s="1"/>
  <c r="B49" i="29" s="1"/>
  <c r="B49" i="31" s="1"/>
  <c r="B49" i="32" s="1"/>
  <c r="B49" i="36"/>
  <c r="B48" i="36"/>
  <c r="B48" i="18"/>
  <c r="B48" i="20" s="1"/>
  <c r="B48" i="29" s="1"/>
  <c r="C11" i="36"/>
  <c r="C11" i="18"/>
  <c r="C11" i="20" s="1"/>
  <c r="C11" i="29" s="1"/>
  <c r="C11" i="31" s="1"/>
  <c r="C11" i="32" s="1"/>
  <c r="C48" i="22"/>
  <c r="C48" i="23" s="1"/>
  <c r="C48" i="16" s="1"/>
  <c r="C48" i="17" s="1"/>
  <c r="C48" i="38" l="1"/>
  <c r="C11" i="37"/>
  <c r="C11" i="34" s="1"/>
  <c r="C11" i="33"/>
  <c r="B49" i="37"/>
  <c r="B49" i="34" s="1"/>
  <c r="B49" i="33"/>
  <c r="C48" i="37"/>
  <c r="C48" i="36"/>
  <c r="C48" i="35"/>
  <c r="C48" i="31"/>
  <c r="C48" i="34"/>
  <c r="C48" i="29"/>
  <c r="C48" i="33"/>
  <c r="C48" i="32"/>
  <c r="C48" i="20"/>
  <c r="C48" i="18"/>
  <c r="C27" i="21"/>
  <c r="C34" i="22"/>
  <c r="B49" i="38" l="1"/>
  <c r="B49" i="35"/>
  <c r="C11" i="38"/>
  <c r="C11" i="35"/>
  <c r="C34" i="16" l="1"/>
</calcChain>
</file>

<file path=xl/sharedStrings.xml><?xml version="1.0" encoding="utf-8"?>
<sst xmlns="http://schemas.openxmlformats.org/spreadsheetml/2006/main" count="1249" uniqueCount="147">
  <si>
    <t>PARTICULARS</t>
  </si>
  <si>
    <t>AMOUNT/DETAILS</t>
  </si>
  <si>
    <t>LGU Income Classification</t>
  </si>
  <si>
    <t>First Class</t>
  </si>
  <si>
    <t>Date of Report</t>
  </si>
  <si>
    <t>Land Bank of the Philippines</t>
  </si>
  <si>
    <t>Date of Certification - NDSC/NBC</t>
  </si>
  <si>
    <t>Date of MB Opinion</t>
  </si>
  <si>
    <t>Date of Approval of Loan</t>
  </si>
  <si>
    <t>Loan</t>
  </si>
  <si>
    <t>Purpose of Indebtedness</t>
  </si>
  <si>
    <t>10 years</t>
  </si>
  <si>
    <t>Maturity Date</t>
  </si>
  <si>
    <t>Terms and Conditions: Interest Rate</t>
  </si>
  <si>
    <t>Frequency of Payment</t>
  </si>
  <si>
    <t>2 years on principal</t>
  </si>
  <si>
    <t>ITEM NO</t>
  </si>
  <si>
    <t>Computation of interest is based on quarterly diminishing balance (principal)</t>
  </si>
  <si>
    <t>July 29, 2015</t>
  </si>
  <si>
    <t>Arrears: Principal (If Any)</t>
  </si>
  <si>
    <t>None</t>
  </si>
  <si>
    <t>Arrears: Interest (If Any)</t>
  </si>
  <si>
    <t>Collateral Security</t>
  </si>
  <si>
    <t xml:space="preserve">Deposit to Bond Sinking Fund for the Year </t>
  </si>
  <si>
    <t>Breakdown of Fees and other related costs(of loan)</t>
  </si>
  <si>
    <t>Date Issued:</t>
  </si>
  <si>
    <t>September 8, 2015</t>
  </si>
  <si>
    <t>MB No. 180</t>
  </si>
  <si>
    <t>February 4, 2016</t>
  </si>
  <si>
    <t>No. 15-09-299</t>
  </si>
  <si>
    <t>July 19,  2016</t>
  </si>
  <si>
    <t>Stimulus Projects</t>
  </si>
  <si>
    <t>15 years</t>
  </si>
  <si>
    <t>July 24, 2023</t>
  </si>
  <si>
    <t>Certified Correct by:</t>
  </si>
  <si>
    <t>Quarterly</t>
  </si>
  <si>
    <t>January 20, 2032</t>
  </si>
  <si>
    <t>Annual Amortization: Principal</t>
  </si>
  <si>
    <t>No. 11</t>
  </si>
  <si>
    <t>Upgrading of Davao del Norte Sports &amp; Tourism Complex (Commercial Building/Multipurpose Covered Courts)</t>
  </si>
  <si>
    <t>October 26, 2015</t>
  </si>
  <si>
    <t>April 17, 2026</t>
  </si>
  <si>
    <t>MB No. 1128</t>
  </si>
  <si>
    <t>July 12, 2018</t>
  </si>
  <si>
    <t>R11-2018-06-138</t>
  </si>
  <si>
    <t>June 01, 2018</t>
  </si>
  <si>
    <t>November 07, 2017</t>
  </si>
  <si>
    <t>January 09, 2026</t>
  </si>
  <si>
    <t>April 10,  2019</t>
  </si>
  <si>
    <t>Php 2,027,550.00</t>
  </si>
  <si>
    <t>Construction of Legislative Building</t>
  </si>
  <si>
    <t>August 28, 2014</t>
  </si>
  <si>
    <t>January 08, 2015</t>
  </si>
  <si>
    <t>No. 14-09-201</t>
  </si>
  <si>
    <t>August 11, 2014</t>
  </si>
  <si>
    <t>EVELYN G. ESPRA, MPA</t>
  </si>
  <si>
    <t>Terms and Conditions: Fixed or Variable</t>
  </si>
  <si>
    <t>Fixed</t>
  </si>
  <si>
    <t>Terms and Conditions: No. of years of Indebtedness</t>
  </si>
  <si>
    <t xml:space="preserve"> Starting Date of Payment</t>
  </si>
  <si>
    <t>Cummulative Payment from Starting Date: Principal</t>
  </si>
  <si>
    <t>Cummulative Payment from Starting Date: Interest</t>
  </si>
  <si>
    <t>Cummulative Payment from Starting Date: GRT</t>
  </si>
  <si>
    <t>Total Amount Release (Availment as of Date)</t>
  </si>
  <si>
    <t>Internal Revenue Allotment</t>
  </si>
  <si>
    <t>Sinking Fund Balance to date, if any</t>
  </si>
  <si>
    <t xml:space="preserve"> PRDP Countepart for the Rehabilitation of Farm-to-Market Roads</t>
  </si>
  <si>
    <t>April 20, 2017</t>
  </si>
  <si>
    <t>October 8, 2020</t>
  </si>
  <si>
    <t>December 15, 2025</t>
  </si>
  <si>
    <t>March 15, 2016</t>
  </si>
  <si>
    <t>Rehabilitation of Capitol  and Legislative Buildings</t>
  </si>
  <si>
    <t>2 quarters on principal</t>
  </si>
  <si>
    <t>Php 120,000,000.00 (on staggered basis)</t>
  </si>
  <si>
    <t>7 years</t>
  </si>
  <si>
    <t>Expansion of Motorpool/Purchase of Brand New Heavy Equipments</t>
  </si>
  <si>
    <t>To finance construction of 2-storey Aqua Center</t>
  </si>
  <si>
    <t xml:space="preserve">15 years </t>
  </si>
  <si>
    <t>July 24, 2008</t>
  </si>
  <si>
    <t>April 24, 2013</t>
  </si>
  <si>
    <t xml:space="preserve">Construction of Sports Complex and Lot Purchase </t>
  </si>
  <si>
    <t>July 09, 2030</t>
  </si>
  <si>
    <t>July 17, 2016</t>
  </si>
  <si>
    <t>R11-2020-07-116</t>
  </si>
  <si>
    <t>July 16, 2020</t>
  </si>
  <si>
    <t>MB No. 1009</t>
  </si>
  <si>
    <t>August 13, 2020</t>
  </si>
  <si>
    <t>January 18, 2021</t>
  </si>
  <si>
    <t>Php 125,000,000.00 (on staggered basis)</t>
  </si>
  <si>
    <t>December 29, 2028</t>
  </si>
  <si>
    <t>Purchase of Brand New Heavy Equipment</t>
  </si>
  <si>
    <t>March 21, 2022</t>
  </si>
  <si>
    <t>Construction of Tech Voc Training Center</t>
  </si>
  <si>
    <t>March 7, 2022</t>
  </si>
  <si>
    <t>Construction of Infirmary Hospital</t>
  </si>
  <si>
    <t>December 3, 2021</t>
  </si>
  <si>
    <t>Php 40,000,000.00 (on staggered basis)</t>
  </si>
  <si>
    <t>Construction of Four (4) Rural Health Units</t>
  </si>
  <si>
    <t>1 year on principal</t>
  </si>
  <si>
    <t>June 10, 2021</t>
  </si>
  <si>
    <t>Php 200,000,000.00 (on staggered basis)</t>
  </si>
  <si>
    <t>November 21, 2036</t>
  </si>
  <si>
    <t>Park Development Project</t>
  </si>
  <si>
    <t>February 22, 2022</t>
  </si>
  <si>
    <t>Php 100,000,000.00 (on staggered basis)</t>
  </si>
  <si>
    <t>Lot Purchase/Acquisition</t>
  </si>
  <si>
    <t>October 15, 2021</t>
  </si>
  <si>
    <t>July 15, 2036</t>
  </si>
  <si>
    <t>Php 29,000,000.00 (on staggered basis)</t>
  </si>
  <si>
    <t>April 29, 2025</t>
  </si>
  <si>
    <t>Provincial Treasurer</t>
  </si>
  <si>
    <t>Certified Correct:</t>
  </si>
  <si>
    <t>Php 75,000,000.00 (on staggered basis)</t>
  </si>
  <si>
    <t>Php 330,000,000.00 (on staggered basis)</t>
  </si>
  <si>
    <t>May 13, 2032</t>
  </si>
  <si>
    <t>Various Brgy Projects, Service Vehicle &amp; Heavy Equipment</t>
  </si>
  <si>
    <t>Brgy. Infra/Rehab of Oval Track</t>
  </si>
  <si>
    <t>15 yrs</t>
  </si>
  <si>
    <t>April 29, 2037</t>
  </si>
  <si>
    <t>July 26,  2022</t>
  </si>
  <si>
    <t>August 21, 2027</t>
  </si>
  <si>
    <t>Acquisition of Multi-purpose and Rescue Vehicle</t>
  </si>
  <si>
    <t>55 years</t>
  </si>
  <si>
    <t>December 12, 2022</t>
  </si>
  <si>
    <t>Lending Institutution (Bank or Creditor)</t>
  </si>
  <si>
    <t>Certificate Number - NDSC/NBC</t>
  </si>
  <si>
    <t>Monetary Board (MB) Resolution Number</t>
  </si>
  <si>
    <t xml:space="preserve">Amount Approved* </t>
  </si>
  <si>
    <t>Type of Indebtedness Instrument (Loan, Bond or other form of Indebtness)</t>
  </si>
  <si>
    <t>Terms and Conditions: Grace Period (Number of Months or Years)</t>
  </si>
  <si>
    <t>Annual Amortizations: Gross Receipt Tax (GRT)</t>
  </si>
  <si>
    <t>Other Relevant terms and Conditions (of loan)</t>
  </si>
  <si>
    <t>Annual Amortization: Interest</t>
  </si>
  <si>
    <t>Remaining Balance to Date/Undrawn Amount(Line 9-25=26)</t>
  </si>
  <si>
    <t>Outstanding Loan Balance after Principal Payments(Line 9-22=27)</t>
  </si>
  <si>
    <t>Annual Amortization: Gross Receipt Tax (GRT)</t>
  </si>
  <si>
    <t>-</t>
  </si>
  <si>
    <t>FDPP Form 2 - Statement of Indebtedness, Payments and Balances</t>
  </si>
  <si>
    <t>(DOF-BLGF Memorandum Circular No. 005-2018 dated January 22, 2018, Annex E)</t>
  </si>
  <si>
    <t>Region:</t>
  </si>
  <si>
    <t>Province:</t>
  </si>
  <si>
    <t>Region XI- Davao Region</t>
  </si>
  <si>
    <t>Davao del Norte</t>
  </si>
  <si>
    <t>Calendar Year: 2023</t>
  </si>
  <si>
    <t>Statement of Indebtedness, Payments and Balances</t>
  </si>
  <si>
    <t>Quarter: 4</t>
  </si>
  <si>
    <t>Ending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</si>
</sst>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PHP]\ #,##0.00_);\([$PHP]\ #,##0.00\)"/>
    <numFmt numFmtId="166" formatCode="[$PHP]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b/>
      <u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7"/>
      <color rgb="FF000000"/>
      <name val="Calibri"/>
      <family val="2"/>
    </font>
    <font>
      <sz val="11"/>
      <color theme="0"/>
      <name val="Century Gothic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0" borderId="0" xfId="1" applyFont="1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164" fontId="7" fillId="0" borderId="2" xfId="1" applyFont="1" applyFill="1" applyBorder="1" applyAlignment="1">
      <alignment horizontal="left" vertical="center"/>
    </xf>
    <xf numFmtId="15" fontId="7" fillId="0" borderId="2" xfId="1" quotePrefix="1" applyNumberFormat="1" applyFont="1" applyFill="1" applyBorder="1" applyAlignment="1">
      <alignment horizontal="left" vertical="center"/>
    </xf>
    <xf numFmtId="164" fontId="7" fillId="0" borderId="2" xfId="1" quotePrefix="1" applyFont="1" applyFill="1" applyBorder="1" applyAlignment="1">
      <alignment horizontal="left" vertical="center"/>
    </xf>
    <xf numFmtId="14" fontId="7" fillId="0" borderId="2" xfId="1" quotePrefix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164" fontId="7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7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4" fillId="0" borderId="2" xfId="1" applyFont="1" applyFill="1" applyBorder="1" applyAlignment="1">
      <alignment horizontal="center" vertical="center"/>
    </xf>
    <xf numFmtId="164" fontId="5" fillId="0" borderId="0" xfId="1" applyFont="1"/>
    <xf numFmtId="165" fontId="7" fillId="0" borderId="2" xfId="1" quotePrefix="1" applyNumberFormat="1" applyFont="1" applyFill="1" applyBorder="1" applyAlignment="1">
      <alignment horizontal="left" vertical="center"/>
    </xf>
    <xf numFmtId="165" fontId="7" fillId="0" borderId="2" xfId="1" applyNumberFormat="1" applyFont="1" applyFill="1" applyBorder="1" applyAlignment="1">
      <alignment horizontal="left" vertical="center"/>
    </xf>
    <xf numFmtId="164" fontId="7" fillId="0" borderId="0" xfId="1" applyFont="1" applyFill="1" applyBorder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15" fontId="9" fillId="0" borderId="0" xfId="1" quotePrefix="1" applyNumberFormat="1" applyFont="1" applyFill="1" applyAlignment="1">
      <alignment horizontal="center" vertical="center"/>
    </xf>
    <xf numFmtId="164" fontId="7" fillId="0" borderId="2" xfId="1" applyFont="1" applyBorder="1" applyAlignment="1">
      <alignment horizontal="left"/>
    </xf>
    <xf numFmtId="164" fontId="7" fillId="0" borderId="2" xfId="1" quotePrefix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165" fontId="11" fillId="2" borderId="2" xfId="1" applyNumberFormat="1" applyFont="1" applyFill="1" applyBorder="1" applyAlignment="1">
      <alignment horizontal="left"/>
    </xf>
    <xf numFmtId="166" fontId="7" fillId="0" borderId="2" xfId="1" quotePrefix="1" applyNumberFormat="1" applyFont="1" applyFill="1" applyBorder="1" applyAlignment="1">
      <alignment horizontal="left" vertical="center"/>
    </xf>
    <xf numFmtId="164" fontId="2" fillId="0" borderId="0" xfId="1" applyFont="1"/>
    <xf numFmtId="0" fontId="12" fillId="0" borderId="0" xfId="0" applyFont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0" xfId="0" applyFont="1"/>
    <xf numFmtId="0" fontId="8" fillId="0" borderId="7" xfId="0" applyFont="1" applyBorder="1"/>
    <xf numFmtId="0" fontId="7" fillId="0" borderId="8" xfId="0" applyFont="1" applyBorder="1" applyAlignment="1">
      <alignment horizontal="center"/>
    </xf>
    <xf numFmtId="164" fontId="7" fillId="0" borderId="9" xfId="1" applyFont="1" applyFill="1" applyBorder="1" applyAlignment="1">
      <alignment horizontal="left" vertical="center"/>
    </xf>
    <xf numFmtId="4" fontId="8" fillId="0" borderId="2" xfId="0" applyNumberFormat="1" applyFont="1" applyBorder="1" applyAlignment="1">
      <alignment horizontal="left" vertical="center" wrapText="1"/>
    </xf>
    <xf numFmtId="164" fontId="13" fillId="0" borderId="0" xfId="1" applyFont="1"/>
    <xf numFmtId="0" fontId="13" fillId="0" borderId="0" xfId="0" applyFont="1"/>
    <xf numFmtId="164" fontId="14" fillId="0" borderId="0" xfId="1" applyFont="1"/>
    <xf numFmtId="0" fontId="14" fillId="0" borderId="0" xfId="0" applyFont="1"/>
    <xf numFmtId="164" fontId="15" fillId="0" borderId="0" xfId="1" applyFont="1"/>
    <xf numFmtId="164" fontId="2" fillId="0" borderId="0" xfId="0" applyNumberFormat="1" applyFont="1"/>
    <xf numFmtId="43" fontId="2" fillId="0" borderId="0" xfId="0" applyNumberFormat="1" applyFont="1"/>
    <xf numFmtId="164" fontId="5" fillId="0" borderId="0" xfId="0" applyNumberFormat="1" applyFont="1"/>
    <xf numFmtId="43" fontId="5" fillId="0" borderId="0" xfId="0" applyNumberFormat="1" applyFont="1"/>
    <xf numFmtId="166" fontId="5" fillId="0" borderId="0" xfId="0" applyNumberFormat="1" applyFont="1"/>
    <xf numFmtId="166" fontId="2" fillId="0" borderId="0" xfId="0" applyNumberFormat="1" applyFont="1"/>
    <xf numFmtId="165" fontId="7" fillId="0" borderId="2" xfId="1" quotePrefix="1" applyNumberFormat="1" applyFont="1" applyFill="1" applyBorder="1" applyAlignment="1">
      <alignment horizontal="center" vertical="center"/>
    </xf>
    <xf numFmtId="166" fontId="13" fillId="0" borderId="0" xfId="0" applyNumberFormat="1" applyFont="1"/>
    <xf numFmtId="166" fontId="14" fillId="0" borderId="0" xfId="0" applyNumberFormat="1" applyFont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45</xdr:row>
      <xdr:rowOff>19050</xdr:rowOff>
    </xdr:from>
    <xdr:to>
      <xdr:col>1</xdr:col>
      <xdr:colOff>2647950</xdr:colOff>
      <xdr:row>47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844406-76CD-4082-981A-2C6F90766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9324975"/>
          <a:ext cx="2009775" cy="428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45</xdr:row>
      <xdr:rowOff>57150</xdr:rowOff>
    </xdr:from>
    <xdr:to>
      <xdr:col>1</xdr:col>
      <xdr:colOff>2590800</xdr:colOff>
      <xdr:row>46</xdr:row>
      <xdr:rowOff>192434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401469-06F6-4432-879A-57A579394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8162925"/>
          <a:ext cx="2009775" cy="33530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45</xdr:row>
      <xdr:rowOff>57150</xdr:rowOff>
    </xdr:from>
    <xdr:to>
      <xdr:col>1</xdr:col>
      <xdr:colOff>2533650</xdr:colOff>
      <xdr:row>46</xdr:row>
      <xdr:rowOff>192434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0D5E51-5C55-49EF-A1F2-1E59C3522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8162925"/>
          <a:ext cx="2009775" cy="33530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45</xdr:row>
      <xdr:rowOff>85725</xdr:rowOff>
    </xdr:from>
    <xdr:to>
      <xdr:col>1</xdr:col>
      <xdr:colOff>2628900</xdr:colOff>
      <xdr:row>47</xdr:row>
      <xdr:rowOff>20984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2D059A-8489-4562-9871-FDB9914F2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" y="8191500"/>
          <a:ext cx="2009775" cy="33530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45</xdr:row>
      <xdr:rowOff>76200</xdr:rowOff>
    </xdr:from>
    <xdr:to>
      <xdr:col>1</xdr:col>
      <xdr:colOff>2571750</xdr:colOff>
      <xdr:row>47</xdr:row>
      <xdr:rowOff>11459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173201-BBDB-424A-86FE-121BC2A15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8181975"/>
          <a:ext cx="2009775" cy="33530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45</xdr:row>
      <xdr:rowOff>28575</xdr:rowOff>
    </xdr:from>
    <xdr:to>
      <xdr:col>1</xdr:col>
      <xdr:colOff>2590800</xdr:colOff>
      <xdr:row>46</xdr:row>
      <xdr:rowOff>163859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CE6359-B0CB-474C-9E20-AEF5969D2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8277225"/>
          <a:ext cx="2009775" cy="33530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45</xdr:row>
      <xdr:rowOff>47625</xdr:rowOff>
    </xdr:from>
    <xdr:to>
      <xdr:col>1</xdr:col>
      <xdr:colOff>2571750</xdr:colOff>
      <xdr:row>46</xdr:row>
      <xdr:rowOff>182909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B26996-A07A-481D-BF06-997E8DFD0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8153400"/>
          <a:ext cx="2009775" cy="33530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45</xdr:row>
      <xdr:rowOff>57150</xdr:rowOff>
    </xdr:from>
    <xdr:to>
      <xdr:col>1</xdr:col>
      <xdr:colOff>2495550</xdr:colOff>
      <xdr:row>46</xdr:row>
      <xdr:rowOff>192434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B648E1-28CC-427F-A7FB-47F22A71A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8162925"/>
          <a:ext cx="2009775" cy="33530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45</xdr:row>
      <xdr:rowOff>47625</xdr:rowOff>
    </xdr:from>
    <xdr:to>
      <xdr:col>1</xdr:col>
      <xdr:colOff>2562225</xdr:colOff>
      <xdr:row>46</xdr:row>
      <xdr:rowOff>182909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3A7787-71D1-0399-17CA-90366E97B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8334375"/>
          <a:ext cx="2009775" cy="335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44</xdr:row>
      <xdr:rowOff>200025</xdr:rowOff>
    </xdr:from>
    <xdr:to>
      <xdr:col>1</xdr:col>
      <xdr:colOff>2676525</xdr:colOff>
      <xdr:row>47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C03CFC-506E-453C-A391-4403D439E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9191625"/>
          <a:ext cx="2009775" cy="4381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45</xdr:row>
      <xdr:rowOff>85725</xdr:rowOff>
    </xdr:from>
    <xdr:to>
      <xdr:col>1</xdr:col>
      <xdr:colOff>2552700</xdr:colOff>
      <xdr:row>47</xdr:row>
      <xdr:rowOff>1933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D7DD3F-1F49-4EB7-A687-0DAD86F02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" y="8982075"/>
          <a:ext cx="2009775" cy="3353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45</xdr:row>
      <xdr:rowOff>47625</xdr:rowOff>
    </xdr:from>
    <xdr:to>
      <xdr:col>1</xdr:col>
      <xdr:colOff>2562225</xdr:colOff>
      <xdr:row>46</xdr:row>
      <xdr:rowOff>173384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CA64E7-6A81-4266-9022-865432CCA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8791575"/>
          <a:ext cx="2009775" cy="3353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45</xdr:row>
      <xdr:rowOff>76200</xdr:rowOff>
    </xdr:from>
    <xdr:to>
      <xdr:col>1</xdr:col>
      <xdr:colOff>2524125</xdr:colOff>
      <xdr:row>46</xdr:row>
      <xdr:rowOff>201959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1A50E9-F5A3-4166-824C-80559B4A6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8953500"/>
          <a:ext cx="2009775" cy="3353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45</xdr:row>
      <xdr:rowOff>47625</xdr:rowOff>
    </xdr:from>
    <xdr:to>
      <xdr:col>1</xdr:col>
      <xdr:colOff>2514600</xdr:colOff>
      <xdr:row>47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05DC9B-D9AE-426D-85BC-69DA2119F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10629900"/>
          <a:ext cx="2009775" cy="409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45</xdr:row>
      <xdr:rowOff>85725</xdr:rowOff>
    </xdr:from>
    <xdr:to>
      <xdr:col>1</xdr:col>
      <xdr:colOff>2571750</xdr:colOff>
      <xdr:row>47</xdr:row>
      <xdr:rowOff>1934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BA1D6E-58EB-49CC-BBA7-D78AE2A83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8982075"/>
          <a:ext cx="2009775" cy="3353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45</xdr:row>
      <xdr:rowOff>85725</xdr:rowOff>
    </xdr:from>
    <xdr:to>
      <xdr:col>1</xdr:col>
      <xdr:colOff>2562225</xdr:colOff>
      <xdr:row>47</xdr:row>
      <xdr:rowOff>1934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7F41F-954F-4746-A3FF-107BF6119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8829675"/>
          <a:ext cx="2009775" cy="3353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45</xdr:row>
      <xdr:rowOff>19050</xdr:rowOff>
    </xdr:from>
    <xdr:to>
      <xdr:col>1</xdr:col>
      <xdr:colOff>2552700</xdr:colOff>
      <xdr:row>46</xdr:row>
      <xdr:rowOff>154333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4F539-5A70-41AD-AAAF-F985EDA9A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" y="8124825"/>
          <a:ext cx="2009775" cy="3353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X/Loan%20Matters/LANDBANK%20LOANS%20COMPU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4M-PAID"/>
      <sheetName val="28M-PAID"/>
      <sheetName val="3.9M TL7-PAID"/>
      <sheetName val="231M TL8"/>
      <sheetName val="263M-20M TL5"/>
      <sheetName val="263M-242M TL5"/>
      <sheetName val="184M-paid-01.22.2016 TL6PAID"/>
      <sheetName val="87M-37M TL10"/>
      <sheetName val="87M-50MTL10"/>
      <sheetName val="50M-30M TL12"/>
      <sheetName val="17.5M-actual TL9-SEF7.4"/>
      <sheetName val="50M-20M TL11"/>
      <sheetName val="17.5M-actual TL9 10.1M"/>
      <sheetName val="300M-50M TL 14"/>
      <sheetName val="300M-120M TL13"/>
      <sheetName val="300M-130M TL15"/>
      <sheetName val="650M-300M TL16"/>
      <sheetName val="650M-150M TL18"/>
      <sheetName val="650M-200M TL17"/>
      <sheetName val="386M-7M(100M) TL27"/>
      <sheetName val="386M-200M TL26"/>
      <sheetName val="386M-86M TL28"/>
      <sheetName val="319M-15M TL22 (1)"/>
      <sheetName val="319M-60M TL22 (2)"/>
      <sheetName val="319M-125M TL19"/>
      <sheetName val="319M-29M TL20"/>
      <sheetName val="319M-50M TL21"/>
      <sheetName val="319M-40M TL23"/>
      <sheetName val="TL 24 330M"/>
      <sheetName val="30M"/>
      <sheetName val="SUMMARY"/>
      <sheetName val="est amort 2022-2025"/>
      <sheetName val="Debt Service"/>
      <sheetName val="debt rat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2">
          <cell r="I42">
            <v>1370521.16</v>
          </cell>
        </row>
        <row r="67">
          <cell r="J67">
            <v>13019951.010000002</v>
          </cell>
        </row>
      </sheetData>
      <sheetData sheetId="10" refreshError="1"/>
      <sheetData sheetId="11" refreshError="1">
        <row r="87">
          <cell r="G87">
            <v>2110088.36</v>
          </cell>
        </row>
        <row r="113">
          <cell r="H113">
            <v>19991807.600000001</v>
          </cell>
        </row>
      </sheetData>
      <sheetData sheetId="12" refreshError="1"/>
      <sheetData sheetId="13" refreshError="1">
        <row r="67">
          <cell r="I67">
            <v>41763939.409999996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zoomScale="124" zoomScaleNormal="124" workbookViewId="0">
      <selection activeCell="D41" sqref="D41"/>
    </sheetView>
  </sheetViews>
  <sheetFormatPr defaultRowHeight="16.5" x14ac:dyDescent="0.3"/>
  <cols>
    <col min="1" max="1" width="9.140625" style="29"/>
    <col min="2" max="2" width="49.28515625" style="7" customWidth="1"/>
    <col min="3" max="3" width="41.85546875" style="7" customWidth="1"/>
    <col min="4" max="4" width="19.5703125" style="7" customWidth="1"/>
    <col min="5" max="16384" width="9.140625" style="7"/>
  </cols>
  <sheetData>
    <row r="1" spans="1:4" x14ac:dyDescent="0.3">
      <c r="A1" s="46" t="s">
        <v>137</v>
      </c>
      <c r="B1" s="46"/>
      <c r="C1" s="46"/>
    </row>
    <row r="2" spans="1:4" x14ac:dyDescent="0.3">
      <c r="A2" s="46" t="s">
        <v>138</v>
      </c>
      <c r="B2" s="46"/>
      <c r="C2" s="46"/>
    </row>
    <row r="3" spans="1:4" x14ac:dyDescent="0.3">
      <c r="A3" s="46"/>
      <c r="B3" s="46"/>
      <c r="C3" s="46"/>
    </row>
    <row r="4" spans="1:4" x14ac:dyDescent="0.3">
      <c r="A4" s="70" t="s">
        <v>144</v>
      </c>
      <c r="B4" s="71"/>
      <c r="C4" s="72"/>
    </row>
    <row r="5" spans="1:4" x14ac:dyDescent="0.3">
      <c r="A5" s="47"/>
      <c r="B5" s="48"/>
      <c r="C5" s="49"/>
    </row>
    <row r="6" spans="1:4" x14ac:dyDescent="0.3">
      <c r="A6" s="50" t="s">
        <v>139</v>
      </c>
      <c r="B6" s="51" t="s">
        <v>141</v>
      </c>
      <c r="C6" s="52" t="s">
        <v>143</v>
      </c>
    </row>
    <row r="7" spans="1:4" x14ac:dyDescent="0.3">
      <c r="A7" s="50" t="s">
        <v>140</v>
      </c>
      <c r="B7" s="51" t="s">
        <v>142</v>
      </c>
      <c r="C7" s="52" t="s">
        <v>145</v>
      </c>
    </row>
    <row r="8" spans="1:4" x14ac:dyDescent="0.3">
      <c r="A8" s="53"/>
      <c r="B8" s="8"/>
      <c r="C8" s="54"/>
    </row>
    <row r="9" spans="1:4" x14ac:dyDescent="0.3">
      <c r="A9" s="9" t="s">
        <v>16</v>
      </c>
      <c r="B9" s="10" t="s">
        <v>0</v>
      </c>
      <c r="C9" s="31" t="s">
        <v>1</v>
      </c>
    </row>
    <row r="10" spans="1:4" x14ac:dyDescent="0.3">
      <c r="A10" s="11">
        <v>1</v>
      </c>
      <c r="B10" s="12" t="s">
        <v>2</v>
      </c>
      <c r="C10" s="13" t="s">
        <v>3</v>
      </c>
      <c r="D10" s="56">
        <v>263000000</v>
      </c>
    </row>
    <row r="11" spans="1:4" x14ac:dyDescent="0.3">
      <c r="A11" s="11">
        <v>2</v>
      </c>
      <c r="B11" s="12" t="s">
        <v>4</v>
      </c>
      <c r="C11" s="14" t="s">
        <v>146</v>
      </c>
    </row>
    <row r="12" spans="1:4" x14ac:dyDescent="0.3">
      <c r="A12" s="11">
        <v>3</v>
      </c>
      <c r="B12" s="12" t="s">
        <v>124</v>
      </c>
      <c r="C12" s="13" t="s">
        <v>5</v>
      </c>
    </row>
    <row r="13" spans="1:4" ht="24.75" customHeight="1" x14ac:dyDescent="0.3">
      <c r="A13" s="11">
        <v>4</v>
      </c>
      <c r="B13" s="12" t="s">
        <v>125</v>
      </c>
      <c r="C13" s="13" t="s">
        <v>20</v>
      </c>
    </row>
    <row r="14" spans="1:4" x14ac:dyDescent="0.3">
      <c r="A14" s="11">
        <v>5</v>
      </c>
      <c r="B14" s="12" t="s">
        <v>6</v>
      </c>
      <c r="C14" s="15" t="s">
        <v>20</v>
      </c>
    </row>
    <row r="15" spans="1:4" x14ac:dyDescent="0.3">
      <c r="A15" s="11">
        <v>6</v>
      </c>
      <c r="B15" s="12" t="s">
        <v>126</v>
      </c>
      <c r="C15" s="13" t="s">
        <v>20</v>
      </c>
    </row>
    <row r="16" spans="1:4" x14ac:dyDescent="0.3">
      <c r="A16" s="11">
        <v>7</v>
      </c>
      <c r="B16" s="12" t="s">
        <v>7</v>
      </c>
      <c r="C16" s="13" t="s">
        <v>20</v>
      </c>
    </row>
    <row r="17" spans="1:3" x14ac:dyDescent="0.3">
      <c r="A17" s="11">
        <v>8</v>
      </c>
      <c r="B17" s="12" t="s">
        <v>8</v>
      </c>
      <c r="C17" s="15" t="s">
        <v>78</v>
      </c>
    </row>
    <row r="18" spans="1:3" x14ac:dyDescent="0.3">
      <c r="A18" s="11">
        <v>9</v>
      </c>
      <c r="B18" s="12" t="s">
        <v>127</v>
      </c>
      <c r="C18" s="34">
        <v>262812829</v>
      </c>
    </row>
    <row r="19" spans="1:3" x14ac:dyDescent="0.3">
      <c r="A19" s="11">
        <v>10</v>
      </c>
      <c r="B19" s="12" t="s">
        <v>12</v>
      </c>
      <c r="C19" s="15" t="s">
        <v>33</v>
      </c>
    </row>
    <row r="20" spans="1:3" ht="28.5" x14ac:dyDescent="0.3">
      <c r="A20" s="11">
        <v>11</v>
      </c>
      <c r="B20" s="42" t="s">
        <v>128</v>
      </c>
      <c r="C20" s="13" t="s">
        <v>9</v>
      </c>
    </row>
    <row r="21" spans="1:3" ht="27" x14ac:dyDescent="0.3">
      <c r="A21" s="11">
        <v>12</v>
      </c>
      <c r="B21" s="17" t="s">
        <v>10</v>
      </c>
      <c r="C21" s="19" t="s">
        <v>80</v>
      </c>
    </row>
    <row r="22" spans="1:3" x14ac:dyDescent="0.3">
      <c r="A22" s="11">
        <v>13</v>
      </c>
      <c r="B22" s="17" t="s">
        <v>56</v>
      </c>
      <c r="C22" s="19" t="s">
        <v>57</v>
      </c>
    </row>
    <row r="23" spans="1:3" x14ac:dyDescent="0.3">
      <c r="A23" s="11">
        <v>14</v>
      </c>
      <c r="B23" s="17" t="s">
        <v>58</v>
      </c>
      <c r="C23" s="19" t="s">
        <v>77</v>
      </c>
    </row>
    <row r="24" spans="1:3" ht="28.5" x14ac:dyDescent="0.3">
      <c r="A24" s="11">
        <v>15</v>
      </c>
      <c r="B24" s="17" t="s">
        <v>13</v>
      </c>
      <c r="C24" s="18" t="s">
        <v>17</v>
      </c>
    </row>
    <row r="25" spans="1:3" x14ac:dyDescent="0.3">
      <c r="A25" s="11">
        <v>16</v>
      </c>
      <c r="B25" s="12" t="s">
        <v>129</v>
      </c>
      <c r="C25" s="16" t="s">
        <v>15</v>
      </c>
    </row>
    <row r="26" spans="1:3" x14ac:dyDescent="0.3">
      <c r="A26" s="11">
        <v>17</v>
      </c>
      <c r="B26" s="12" t="s">
        <v>14</v>
      </c>
      <c r="C26" s="16" t="s">
        <v>35</v>
      </c>
    </row>
    <row r="27" spans="1:3" x14ac:dyDescent="0.3">
      <c r="A27" s="11">
        <v>18</v>
      </c>
      <c r="B27" s="12" t="s">
        <v>37</v>
      </c>
      <c r="C27" s="34">
        <f>1155855.52+17341285.8</f>
        <v>18497141.32</v>
      </c>
    </row>
    <row r="28" spans="1:3" x14ac:dyDescent="0.3">
      <c r="A28" s="11">
        <v>19</v>
      </c>
      <c r="B28" s="12" t="s">
        <v>132</v>
      </c>
      <c r="C28" s="43">
        <f>446478.92+30045.91</f>
        <v>476524.82999999996</v>
      </c>
    </row>
    <row r="29" spans="1:3" x14ac:dyDescent="0.3">
      <c r="A29" s="11">
        <v>20</v>
      </c>
      <c r="B29" s="12" t="s">
        <v>130</v>
      </c>
      <c r="C29" s="19" t="s">
        <v>20</v>
      </c>
    </row>
    <row r="30" spans="1:3" x14ac:dyDescent="0.3">
      <c r="A30" s="11">
        <v>21</v>
      </c>
      <c r="B30" s="20" t="s">
        <v>59</v>
      </c>
      <c r="C30" s="15" t="s">
        <v>79</v>
      </c>
    </row>
    <row r="31" spans="1:3" x14ac:dyDescent="0.3">
      <c r="A31" s="11">
        <v>22</v>
      </c>
      <c r="B31" s="21" t="s">
        <v>60</v>
      </c>
      <c r="C31" s="33">
        <f>250481401.44+6165713.76+6165713.8</f>
        <v>262812829</v>
      </c>
    </row>
    <row r="32" spans="1:3" x14ac:dyDescent="0.3">
      <c r="A32" s="11">
        <v>23</v>
      </c>
      <c r="B32" s="21" t="s">
        <v>61</v>
      </c>
      <c r="C32" s="33">
        <f>78311134.8+167234.42+94538.13</f>
        <v>78572907.349999994</v>
      </c>
    </row>
    <row r="33" spans="1:3" x14ac:dyDescent="0.3">
      <c r="A33" s="11">
        <v>24</v>
      </c>
      <c r="B33" s="21" t="s">
        <v>62</v>
      </c>
      <c r="C33" s="15" t="s">
        <v>20</v>
      </c>
    </row>
    <row r="34" spans="1:3" x14ac:dyDescent="0.3">
      <c r="A34" s="11">
        <v>25</v>
      </c>
      <c r="B34" s="21" t="s">
        <v>63</v>
      </c>
      <c r="C34" s="34">
        <v>262812829</v>
      </c>
    </row>
    <row r="35" spans="1:3" ht="28.5" x14ac:dyDescent="0.3">
      <c r="A35" s="11">
        <v>26</v>
      </c>
      <c r="B35" s="21" t="s">
        <v>133</v>
      </c>
      <c r="C35" s="33">
        <v>0</v>
      </c>
    </row>
    <row r="36" spans="1:3" ht="28.5" x14ac:dyDescent="0.3">
      <c r="A36" s="11">
        <v>27</v>
      </c>
      <c r="B36" s="20" t="s">
        <v>134</v>
      </c>
      <c r="C36" s="33">
        <f>C18-C31</f>
        <v>0</v>
      </c>
    </row>
    <row r="37" spans="1:3" x14ac:dyDescent="0.3">
      <c r="A37" s="11">
        <v>28</v>
      </c>
      <c r="B37" s="20" t="s">
        <v>19</v>
      </c>
      <c r="C37" s="13" t="s">
        <v>20</v>
      </c>
    </row>
    <row r="38" spans="1:3" x14ac:dyDescent="0.3">
      <c r="A38" s="11">
        <v>29</v>
      </c>
      <c r="B38" s="20" t="s">
        <v>21</v>
      </c>
      <c r="C38" s="13" t="s">
        <v>20</v>
      </c>
    </row>
    <row r="39" spans="1:3" x14ac:dyDescent="0.3">
      <c r="A39" s="11">
        <v>30</v>
      </c>
      <c r="B39" s="20" t="s">
        <v>22</v>
      </c>
      <c r="C39" s="13" t="s">
        <v>64</v>
      </c>
    </row>
    <row r="40" spans="1:3" x14ac:dyDescent="0.3">
      <c r="A40" s="11">
        <v>31</v>
      </c>
      <c r="B40" s="20" t="s">
        <v>23</v>
      </c>
      <c r="C40" s="13" t="s">
        <v>20</v>
      </c>
    </row>
    <row r="41" spans="1:3" x14ac:dyDescent="0.3">
      <c r="A41" s="11">
        <v>32</v>
      </c>
      <c r="B41" s="20" t="s">
        <v>65</v>
      </c>
      <c r="C41" s="13" t="s">
        <v>20</v>
      </c>
    </row>
    <row r="42" spans="1:3" x14ac:dyDescent="0.3">
      <c r="A42" s="11">
        <v>33</v>
      </c>
      <c r="B42" s="20" t="s">
        <v>24</v>
      </c>
      <c r="C42" s="34">
        <v>1314065</v>
      </c>
    </row>
    <row r="43" spans="1:3" x14ac:dyDescent="0.3">
      <c r="A43" s="11">
        <v>34</v>
      </c>
      <c r="B43" s="20" t="s">
        <v>131</v>
      </c>
      <c r="C43" s="13" t="s">
        <v>20</v>
      </c>
    </row>
    <row r="44" spans="1:3" x14ac:dyDescent="0.3">
      <c r="A44" s="22"/>
      <c r="B44" s="23"/>
      <c r="C44" s="24"/>
    </row>
    <row r="45" spans="1:3" x14ac:dyDescent="0.3">
      <c r="A45" s="25"/>
      <c r="B45" s="26" t="s">
        <v>111</v>
      </c>
      <c r="C45" s="27" t="s">
        <v>25</v>
      </c>
    </row>
    <row r="46" spans="1:3" x14ac:dyDescent="0.3">
      <c r="A46" s="25"/>
      <c r="B46" s="26"/>
      <c r="C46" s="36"/>
    </row>
    <row r="47" spans="1:3" x14ac:dyDescent="0.3">
      <c r="A47" s="25"/>
      <c r="B47" s="26"/>
      <c r="C47" s="36"/>
    </row>
    <row r="48" spans="1:3" x14ac:dyDescent="0.3">
      <c r="A48" s="25"/>
      <c r="B48" s="28" t="s">
        <v>55</v>
      </c>
      <c r="C48" s="37">
        <v>45338</v>
      </c>
    </row>
    <row r="49" spans="1:3" x14ac:dyDescent="0.3">
      <c r="A49" s="25"/>
      <c r="B49" s="25" t="s">
        <v>110</v>
      </c>
      <c r="C49" s="36"/>
    </row>
  </sheetData>
  <mergeCells count="1">
    <mergeCell ref="A4:C4"/>
  </mergeCells>
  <pageMargins left="0.2" right="0.2" top="0.5" bottom="0.25" header="0.3" footer="0.3"/>
  <pageSetup paperSize="14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0"/>
  <sheetViews>
    <sheetView topLeftCell="A43" zoomScale="142" zoomScaleNormal="142" workbookViewId="0">
      <selection activeCell="D36" sqref="D36"/>
    </sheetView>
  </sheetViews>
  <sheetFormatPr defaultRowHeight="14.25" x14ac:dyDescent="0.2"/>
  <cols>
    <col min="1" max="1" width="9.140625" style="3"/>
    <col min="2" max="2" width="47.7109375" style="1" customWidth="1"/>
    <col min="3" max="3" width="39.28515625" style="1" customWidth="1"/>
    <col min="4" max="4" width="24" style="1" customWidth="1"/>
    <col min="5" max="16384" width="9.140625" style="1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s="7" customFormat="1" ht="16.5" x14ac:dyDescent="0.3">
      <c r="A4" s="70" t="s">
        <v>144</v>
      </c>
      <c r="B4" s="71"/>
      <c r="C4" s="72"/>
    </row>
    <row r="5" spans="1:3" s="7" customFormat="1" ht="16.5" x14ac:dyDescent="0.3">
      <c r="A5" s="47"/>
      <c r="B5" s="48"/>
      <c r="C5" s="49"/>
    </row>
    <row r="6" spans="1:3" s="7" customFormat="1" ht="16.5" x14ac:dyDescent="0.3">
      <c r="A6" s="50" t="s">
        <v>139</v>
      </c>
      <c r="B6" s="51" t="s">
        <v>141</v>
      </c>
      <c r="C6" s="52" t="s">
        <v>143</v>
      </c>
    </row>
    <row r="7" spans="1:3" s="7" customFormat="1" ht="16.5" x14ac:dyDescent="0.3">
      <c r="A7" s="50" t="s">
        <v>140</v>
      </c>
      <c r="B7" s="51" t="s">
        <v>142</v>
      </c>
      <c r="C7" s="52" t="s">
        <v>145</v>
      </c>
    </row>
    <row r="8" spans="1:3" s="7" customFormat="1" ht="16.5" x14ac:dyDescent="0.3">
      <c r="A8" s="53"/>
      <c r="B8" s="8"/>
      <c r="C8" s="54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18 '!C11</f>
        <v>Ending December 31, 2023</v>
      </c>
    </row>
    <row r="12" spans="1:3" ht="15.75" x14ac:dyDescent="0.3">
      <c r="A12" s="11">
        <v>3</v>
      </c>
      <c r="B12" s="12" t="s">
        <v>124</v>
      </c>
      <c r="C12" s="13" t="s">
        <v>5</v>
      </c>
    </row>
    <row r="13" spans="1:3" ht="15.75" x14ac:dyDescent="0.3">
      <c r="A13" s="11">
        <v>4</v>
      </c>
      <c r="B13" s="12" t="s">
        <v>125</v>
      </c>
      <c r="C13" s="13" t="s">
        <v>83</v>
      </c>
    </row>
    <row r="14" spans="1:3" ht="15.75" x14ac:dyDescent="0.3">
      <c r="A14" s="11">
        <v>5</v>
      </c>
      <c r="B14" s="12" t="s">
        <v>6</v>
      </c>
      <c r="C14" s="15" t="s">
        <v>84</v>
      </c>
    </row>
    <row r="15" spans="1:3" ht="15.75" x14ac:dyDescent="0.3">
      <c r="A15" s="11">
        <v>6</v>
      </c>
      <c r="B15" s="12" t="s">
        <v>126</v>
      </c>
      <c r="C15" s="13" t="s">
        <v>85</v>
      </c>
    </row>
    <row r="16" spans="1:3" ht="15.75" x14ac:dyDescent="0.3">
      <c r="A16" s="11">
        <v>7</v>
      </c>
      <c r="B16" s="12" t="s">
        <v>7</v>
      </c>
      <c r="C16" s="15" t="s">
        <v>86</v>
      </c>
    </row>
    <row r="17" spans="1:4" ht="15.75" x14ac:dyDescent="0.3">
      <c r="A17" s="11">
        <v>8</v>
      </c>
      <c r="B17" s="12" t="s">
        <v>8</v>
      </c>
      <c r="C17" s="15" t="s">
        <v>87</v>
      </c>
    </row>
    <row r="18" spans="1:4" ht="15.75" x14ac:dyDescent="0.3">
      <c r="A18" s="11">
        <v>9</v>
      </c>
      <c r="B18" s="12" t="s">
        <v>127</v>
      </c>
      <c r="C18" s="13" t="s">
        <v>88</v>
      </c>
      <c r="D18" s="58">
        <v>125000000</v>
      </c>
    </row>
    <row r="19" spans="1:4" ht="15.75" x14ac:dyDescent="0.3">
      <c r="A19" s="11">
        <v>10</v>
      </c>
      <c r="B19" s="12" t="s">
        <v>12</v>
      </c>
      <c r="C19" s="16" t="s">
        <v>89</v>
      </c>
    </row>
    <row r="20" spans="1:4" ht="15.75" x14ac:dyDescent="0.3">
      <c r="A20" s="11">
        <v>11</v>
      </c>
      <c r="B20" s="12" t="s">
        <v>128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90</v>
      </c>
    </row>
    <row r="22" spans="1:4" x14ac:dyDescent="0.2">
      <c r="A22" s="11">
        <v>13</v>
      </c>
      <c r="B22" s="17" t="s">
        <v>56</v>
      </c>
      <c r="C22" s="19" t="s">
        <v>57</v>
      </c>
    </row>
    <row r="23" spans="1:4" x14ac:dyDescent="0.2">
      <c r="A23" s="11">
        <v>14</v>
      </c>
      <c r="B23" s="17" t="s">
        <v>58</v>
      </c>
      <c r="C23" s="16" t="s">
        <v>74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129</v>
      </c>
      <c r="C25" s="16" t="s">
        <v>72</v>
      </c>
    </row>
    <row r="26" spans="1:4" ht="15.75" x14ac:dyDescent="0.3">
      <c r="A26" s="11">
        <v>17</v>
      </c>
      <c r="B26" s="12" t="s">
        <v>14</v>
      </c>
      <c r="C26" s="16" t="s">
        <v>35</v>
      </c>
    </row>
    <row r="27" spans="1:4" ht="15.75" x14ac:dyDescent="0.3">
      <c r="A27" s="11">
        <v>18</v>
      </c>
      <c r="B27" s="12" t="s">
        <v>37</v>
      </c>
      <c r="C27" s="34">
        <v>16876738.48</v>
      </c>
    </row>
    <row r="28" spans="1:4" ht="15.75" x14ac:dyDescent="0.3">
      <c r="A28" s="11">
        <v>19</v>
      </c>
      <c r="B28" s="12" t="s">
        <v>132</v>
      </c>
      <c r="C28" s="34">
        <v>5775954.8300000001</v>
      </c>
    </row>
    <row r="29" spans="1:4" ht="15.75" x14ac:dyDescent="0.3">
      <c r="A29" s="11">
        <v>20</v>
      </c>
      <c r="B29" s="12" t="s">
        <v>130</v>
      </c>
      <c r="C29" s="19" t="s">
        <v>20</v>
      </c>
    </row>
    <row r="30" spans="1:4" x14ac:dyDescent="0.2">
      <c r="A30" s="11">
        <v>21</v>
      </c>
      <c r="B30" s="20" t="s">
        <v>59</v>
      </c>
      <c r="C30" s="14" t="s">
        <v>91</v>
      </c>
    </row>
    <row r="31" spans="1:4" ht="15.75" x14ac:dyDescent="0.3">
      <c r="A31" s="11">
        <v>22</v>
      </c>
      <c r="B31" s="21" t="s">
        <v>60</v>
      </c>
      <c r="C31" s="33">
        <f>11198483.86+4069674.62+4069674.62</f>
        <v>19337833.100000001</v>
      </c>
    </row>
    <row r="32" spans="1:4" ht="15.75" x14ac:dyDescent="0.3">
      <c r="A32" s="11">
        <v>23</v>
      </c>
      <c r="B32" s="21" t="s">
        <v>61</v>
      </c>
      <c r="C32" s="33">
        <f>4027788.49+1471974.65+1454392.54</f>
        <v>6954155.6800000006</v>
      </c>
    </row>
    <row r="33" spans="1:4" ht="15.75" x14ac:dyDescent="0.3">
      <c r="A33" s="11">
        <v>24</v>
      </c>
      <c r="B33" s="21" t="s">
        <v>62</v>
      </c>
      <c r="C33" s="15" t="s">
        <v>20</v>
      </c>
    </row>
    <row r="34" spans="1:4" ht="15.75" x14ac:dyDescent="0.3">
      <c r="A34" s="11">
        <v>25</v>
      </c>
      <c r="B34" s="21" t="s">
        <v>63</v>
      </c>
      <c r="C34" s="33">
        <v>104801000</v>
      </c>
    </row>
    <row r="35" spans="1:4" ht="28.5" x14ac:dyDescent="0.3">
      <c r="A35" s="11">
        <v>26</v>
      </c>
      <c r="B35" s="21" t="s">
        <v>133</v>
      </c>
      <c r="C35" s="33">
        <f>D18-C34</f>
        <v>20199000</v>
      </c>
    </row>
    <row r="36" spans="1:4" ht="22.5" customHeight="1" x14ac:dyDescent="0.2">
      <c r="A36" s="11">
        <v>27</v>
      </c>
      <c r="B36" s="20" t="s">
        <v>134</v>
      </c>
      <c r="C36" s="33">
        <f>D18-C31</f>
        <v>105662166.90000001</v>
      </c>
      <c r="D36" s="66"/>
    </row>
    <row r="37" spans="1:4" x14ac:dyDescent="0.2">
      <c r="A37" s="11">
        <v>28</v>
      </c>
      <c r="B37" s="20" t="s">
        <v>19</v>
      </c>
      <c r="C37" s="13" t="s">
        <v>20</v>
      </c>
    </row>
    <row r="38" spans="1:4" x14ac:dyDescent="0.2">
      <c r="A38" s="11">
        <v>29</v>
      </c>
      <c r="B38" s="20" t="s">
        <v>21</v>
      </c>
      <c r="C38" s="13" t="s">
        <v>20</v>
      </c>
    </row>
    <row r="39" spans="1:4" x14ac:dyDescent="0.2">
      <c r="A39" s="11">
        <v>30</v>
      </c>
      <c r="B39" s="20" t="s">
        <v>22</v>
      </c>
      <c r="C39" s="13" t="s">
        <v>64</v>
      </c>
    </row>
    <row r="40" spans="1:4" x14ac:dyDescent="0.2">
      <c r="A40" s="11">
        <v>31</v>
      </c>
      <c r="B40" s="20" t="s">
        <v>23</v>
      </c>
      <c r="C40" s="13" t="s">
        <v>20</v>
      </c>
    </row>
    <row r="41" spans="1:4" x14ac:dyDescent="0.2">
      <c r="A41" s="11">
        <v>32</v>
      </c>
      <c r="B41" s="20" t="s">
        <v>65</v>
      </c>
      <c r="C41" s="13" t="s">
        <v>20</v>
      </c>
    </row>
    <row r="42" spans="1:4" x14ac:dyDescent="0.2">
      <c r="A42" s="11">
        <v>33</v>
      </c>
      <c r="B42" s="20" t="s">
        <v>24</v>
      </c>
      <c r="C42" s="34">
        <v>786007.5</v>
      </c>
    </row>
    <row r="43" spans="1:4" x14ac:dyDescent="0.2">
      <c r="A43" s="11">
        <v>34</v>
      </c>
      <c r="B43" s="20" t="s">
        <v>131</v>
      </c>
      <c r="C43" s="13" t="s">
        <v>20</v>
      </c>
    </row>
    <row r="44" spans="1:4" x14ac:dyDescent="0.2">
      <c r="A44" s="4"/>
      <c r="B44" s="5"/>
      <c r="C44" s="6"/>
    </row>
    <row r="45" spans="1:4" ht="15.75" x14ac:dyDescent="0.3">
      <c r="A45" s="2"/>
      <c r="B45" s="26" t="s">
        <v>34</v>
      </c>
      <c r="C45" s="27" t="s">
        <v>25</v>
      </c>
    </row>
    <row r="46" spans="1:4" ht="15.75" x14ac:dyDescent="0.3">
      <c r="A46" s="2"/>
      <c r="B46" s="26"/>
      <c r="C46" s="36"/>
    </row>
    <row r="47" spans="1:4" ht="15.75" x14ac:dyDescent="0.3">
      <c r="A47" s="2"/>
      <c r="B47" s="26"/>
      <c r="C47" s="36"/>
    </row>
    <row r="48" spans="1:4" ht="15" x14ac:dyDescent="0.25">
      <c r="A48" s="2"/>
      <c r="B48" s="28" t="str">
        <f>'TL 18 '!B48</f>
        <v>EVELYN G. ESPRA, MPA</v>
      </c>
      <c r="C48" s="37">
        <f>'TL 15'!C48</f>
        <v>45338</v>
      </c>
    </row>
    <row r="49" spans="1:3" ht="15.75" x14ac:dyDescent="0.3">
      <c r="A49" s="2"/>
      <c r="B49" s="25" t="str">
        <f>'TL 18 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0"/>
  <sheetViews>
    <sheetView topLeftCell="A27" zoomScale="130" zoomScaleNormal="130" workbookViewId="0">
      <selection activeCell="C31" sqref="C31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22.7109375" style="1" customWidth="1"/>
    <col min="6" max="16384" width="9.140625" style="1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s="7" customFormat="1" ht="16.5" x14ac:dyDescent="0.3">
      <c r="A4" s="70" t="s">
        <v>144</v>
      </c>
      <c r="B4" s="71"/>
      <c r="C4" s="72"/>
    </row>
    <row r="5" spans="1:3" s="7" customFormat="1" ht="16.5" x14ac:dyDescent="0.3">
      <c r="A5" s="47"/>
      <c r="B5" s="48"/>
      <c r="C5" s="49"/>
    </row>
    <row r="6" spans="1:3" s="7" customFormat="1" ht="16.5" x14ac:dyDescent="0.3">
      <c r="A6" s="50" t="s">
        <v>139</v>
      </c>
      <c r="B6" s="51" t="s">
        <v>141</v>
      </c>
      <c r="C6" s="52" t="s">
        <v>143</v>
      </c>
    </row>
    <row r="7" spans="1:3" s="7" customFormat="1" ht="16.5" x14ac:dyDescent="0.3">
      <c r="A7" s="50" t="s">
        <v>140</v>
      </c>
      <c r="B7" s="51" t="s">
        <v>142</v>
      </c>
      <c r="C7" s="52" t="s">
        <v>145</v>
      </c>
    </row>
    <row r="8" spans="1:3" s="7" customFormat="1" ht="16.5" x14ac:dyDescent="0.3">
      <c r="A8" s="53"/>
      <c r="B8" s="8"/>
      <c r="C8" s="54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19'!C11</f>
        <v>Ending December 31, 2023</v>
      </c>
    </row>
    <row r="12" spans="1:3" ht="15.75" x14ac:dyDescent="0.3">
      <c r="A12" s="11">
        <v>3</v>
      </c>
      <c r="B12" s="12" t="s">
        <v>124</v>
      </c>
      <c r="C12" s="13" t="s">
        <v>5</v>
      </c>
    </row>
    <row r="13" spans="1:3" ht="15.75" x14ac:dyDescent="0.3">
      <c r="A13" s="11">
        <v>4</v>
      </c>
      <c r="B13" s="12" t="s">
        <v>125</v>
      </c>
      <c r="C13" s="13" t="s">
        <v>83</v>
      </c>
    </row>
    <row r="14" spans="1:3" ht="15.75" x14ac:dyDescent="0.3">
      <c r="A14" s="11">
        <v>5</v>
      </c>
      <c r="B14" s="12" t="s">
        <v>6</v>
      </c>
      <c r="C14" s="15" t="s">
        <v>84</v>
      </c>
    </row>
    <row r="15" spans="1:3" ht="15.75" x14ac:dyDescent="0.3">
      <c r="A15" s="11">
        <v>6</v>
      </c>
      <c r="B15" s="12" t="s">
        <v>126</v>
      </c>
      <c r="C15" s="13" t="s">
        <v>85</v>
      </c>
    </row>
    <row r="16" spans="1:3" ht="15.75" x14ac:dyDescent="0.3">
      <c r="A16" s="11">
        <v>7</v>
      </c>
      <c r="B16" s="12" t="s">
        <v>7</v>
      </c>
      <c r="C16" s="15" t="s">
        <v>86</v>
      </c>
    </row>
    <row r="17" spans="1:4" ht="15.75" x14ac:dyDescent="0.3">
      <c r="A17" s="11">
        <v>8</v>
      </c>
      <c r="B17" s="12" t="s">
        <v>8</v>
      </c>
      <c r="C17" s="15" t="s">
        <v>87</v>
      </c>
    </row>
    <row r="18" spans="1:4" ht="15.75" x14ac:dyDescent="0.3">
      <c r="A18" s="11">
        <v>9</v>
      </c>
      <c r="B18" s="12" t="s">
        <v>127</v>
      </c>
      <c r="C18" s="13" t="s">
        <v>108</v>
      </c>
      <c r="D18" s="45">
        <v>29000000</v>
      </c>
    </row>
    <row r="19" spans="1:4" ht="15.75" x14ac:dyDescent="0.3">
      <c r="A19" s="11">
        <v>10</v>
      </c>
      <c r="B19" s="12" t="s">
        <v>12</v>
      </c>
      <c r="C19" s="16" t="s">
        <v>89</v>
      </c>
    </row>
    <row r="20" spans="1:4" ht="15.75" x14ac:dyDescent="0.3">
      <c r="A20" s="11">
        <v>11</v>
      </c>
      <c r="B20" s="12" t="s">
        <v>128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92</v>
      </c>
    </row>
    <row r="22" spans="1:4" x14ac:dyDescent="0.2">
      <c r="A22" s="11">
        <v>13</v>
      </c>
      <c r="B22" s="17" t="s">
        <v>56</v>
      </c>
      <c r="C22" s="19" t="s">
        <v>57</v>
      </c>
    </row>
    <row r="23" spans="1:4" x14ac:dyDescent="0.2">
      <c r="A23" s="11">
        <v>14</v>
      </c>
      <c r="B23" s="17" t="s">
        <v>58</v>
      </c>
      <c r="C23" s="16" t="s">
        <v>32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129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35</v>
      </c>
    </row>
    <row r="27" spans="1:4" ht="15.75" x14ac:dyDescent="0.3">
      <c r="A27" s="11">
        <v>18</v>
      </c>
      <c r="B27" s="12" t="s">
        <v>37</v>
      </c>
      <c r="C27" s="34" t="s">
        <v>20</v>
      </c>
    </row>
    <row r="28" spans="1:4" ht="15.75" x14ac:dyDescent="0.3">
      <c r="A28" s="11">
        <v>19</v>
      </c>
      <c r="B28" s="12" t="s">
        <v>132</v>
      </c>
      <c r="C28" s="34">
        <v>1640955.52</v>
      </c>
    </row>
    <row r="29" spans="1:4" ht="15.75" x14ac:dyDescent="0.3">
      <c r="A29" s="11">
        <v>20</v>
      </c>
      <c r="B29" s="12" t="s">
        <v>130</v>
      </c>
      <c r="C29" s="19" t="s">
        <v>20</v>
      </c>
    </row>
    <row r="30" spans="1:4" x14ac:dyDescent="0.2">
      <c r="A30" s="11">
        <v>21</v>
      </c>
      <c r="B30" s="20" t="s">
        <v>59</v>
      </c>
      <c r="C30" s="14" t="s">
        <v>93</v>
      </c>
    </row>
    <row r="31" spans="1:4" ht="15.75" x14ac:dyDescent="0.3">
      <c r="A31" s="11">
        <v>22</v>
      </c>
      <c r="B31" s="21" t="s">
        <v>60</v>
      </c>
      <c r="C31" s="33">
        <v>0</v>
      </c>
    </row>
    <row r="32" spans="1:4" ht="15.75" x14ac:dyDescent="0.3">
      <c r="A32" s="11">
        <v>23</v>
      </c>
      <c r="B32" s="21" t="s">
        <v>61</v>
      </c>
      <c r="C32" s="33">
        <f>1005495.16+418626.91+418626.91+434044.61</f>
        <v>2276793.59</v>
      </c>
    </row>
    <row r="33" spans="1:5" ht="15.75" x14ac:dyDescent="0.3">
      <c r="A33" s="11">
        <v>24</v>
      </c>
      <c r="B33" s="21" t="s">
        <v>62</v>
      </c>
      <c r="C33" s="15" t="s">
        <v>20</v>
      </c>
    </row>
    <row r="34" spans="1:5" ht="15.75" x14ac:dyDescent="0.3">
      <c r="A34" s="11">
        <v>25</v>
      </c>
      <c r="B34" s="21" t="s">
        <v>63</v>
      </c>
      <c r="C34" s="33">
        <v>28996344.239999998</v>
      </c>
      <c r="E34" s="66"/>
    </row>
    <row r="35" spans="1:5" ht="28.5" x14ac:dyDescent="0.3">
      <c r="A35" s="11">
        <v>26</v>
      </c>
      <c r="B35" s="21" t="s">
        <v>133</v>
      </c>
      <c r="C35" s="67" t="s">
        <v>136</v>
      </c>
    </row>
    <row r="36" spans="1:5" ht="27" customHeight="1" x14ac:dyDescent="0.2">
      <c r="A36" s="11">
        <v>27</v>
      </c>
      <c r="B36" s="20" t="s">
        <v>134</v>
      </c>
      <c r="C36" s="33">
        <f>D18-C31</f>
        <v>29000000</v>
      </c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64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65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197722.5+19752</f>
        <v>217474.5</v>
      </c>
    </row>
    <row r="43" spans="1:5" x14ac:dyDescent="0.2">
      <c r="A43" s="11">
        <v>34</v>
      </c>
      <c r="B43" s="20" t="s">
        <v>131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34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55</v>
      </c>
      <c r="C48" s="37">
        <f>'TL 15'!C48</f>
        <v>45338</v>
      </c>
    </row>
    <row r="49" spans="1:3" ht="15.75" x14ac:dyDescent="0.3">
      <c r="A49" s="2"/>
      <c r="B49" s="25" t="str">
        <f>'TL 19'!B49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2" right="0.2" top="0.5" bottom="0.2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0"/>
  <sheetViews>
    <sheetView topLeftCell="A37" zoomScale="142" zoomScaleNormal="142" workbookViewId="0">
      <selection activeCell="E38" sqref="E38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19.7109375" style="1" customWidth="1"/>
    <col min="6" max="16384" width="9.140625" style="1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s="7" customFormat="1" ht="16.5" x14ac:dyDescent="0.3">
      <c r="A4" s="70" t="s">
        <v>144</v>
      </c>
      <c r="B4" s="71"/>
      <c r="C4" s="72"/>
    </row>
    <row r="5" spans="1:3" s="7" customFormat="1" ht="16.5" x14ac:dyDescent="0.3">
      <c r="A5" s="47"/>
      <c r="B5" s="48"/>
      <c r="C5" s="49"/>
    </row>
    <row r="6" spans="1:3" s="7" customFormat="1" ht="16.5" x14ac:dyDescent="0.3">
      <c r="A6" s="50" t="s">
        <v>139</v>
      </c>
      <c r="B6" s="51" t="s">
        <v>141</v>
      </c>
      <c r="C6" s="52" t="s">
        <v>143</v>
      </c>
    </row>
    <row r="7" spans="1:3" s="7" customFormat="1" ht="16.5" x14ac:dyDescent="0.3">
      <c r="A7" s="50" t="s">
        <v>140</v>
      </c>
      <c r="B7" s="51" t="s">
        <v>142</v>
      </c>
      <c r="C7" s="52" t="s">
        <v>145</v>
      </c>
    </row>
    <row r="8" spans="1:3" s="7" customFormat="1" ht="16.5" x14ac:dyDescent="0.3">
      <c r="A8" s="53"/>
      <c r="B8" s="8"/>
      <c r="C8" s="54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20'!C11</f>
        <v>Ending December 31, 2023</v>
      </c>
    </row>
    <row r="12" spans="1:3" ht="15.75" x14ac:dyDescent="0.3">
      <c r="A12" s="11">
        <v>3</v>
      </c>
      <c r="B12" s="12" t="s">
        <v>124</v>
      </c>
      <c r="C12" s="13" t="s">
        <v>5</v>
      </c>
    </row>
    <row r="13" spans="1:3" ht="15.75" x14ac:dyDescent="0.3">
      <c r="A13" s="11">
        <v>4</v>
      </c>
      <c r="B13" s="12" t="s">
        <v>125</v>
      </c>
      <c r="C13" s="13" t="s">
        <v>83</v>
      </c>
    </row>
    <row r="14" spans="1:3" ht="15.75" x14ac:dyDescent="0.3">
      <c r="A14" s="11">
        <v>5</v>
      </c>
      <c r="B14" s="12" t="s">
        <v>6</v>
      </c>
      <c r="C14" s="15" t="s">
        <v>84</v>
      </c>
    </row>
    <row r="15" spans="1:3" ht="15.75" x14ac:dyDescent="0.3">
      <c r="A15" s="11">
        <v>6</v>
      </c>
      <c r="B15" s="12" t="s">
        <v>126</v>
      </c>
      <c r="C15" s="13" t="s">
        <v>85</v>
      </c>
    </row>
    <row r="16" spans="1:3" ht="15.75" x14ac:dyDescent="0.3">
      <c r="A16" s="11">
        <v>7</v>
      </c>
      <c r="B16" s="12" t="s">
        <v>7</v>
      </c>
      <c r="C16" s="15" t="s">
        <v>86</v>
      </c>
    </row>
    <row r="17" spans="1:4" ht="15.75" x14ac:dyDescent="0.3">
      <c r="A17" s="11">
        <v>8</v>
      </c>
      <c r="B17" s="12" t="s">
        <v>8</v>
      </c>
      <c r="C17" s="15" t="s">
        <v>87</v>
      </c>
    </row>
    <row r="18" spans="1:4" ht="15.75" x14ac:dyDescent="0.3">
      <c r="A18" s="11">
        <v>9</v>
      </c>
      <c r="B18" s="12" t="s">
        <v>127</v>
      </c>
      <c r="C18" s="13" t="s">
        <v>112</v>
      </c>
      <c r="D18" s="45">
        <v>75000000</v>
      </c>
    </row>
    <row r="19" spans="1:4" ht="15.75" x14ac:dyDescent="0.3">
      <c r="A19" s="11">
        <v>10</v>
      </c>
      <c r="B19" s="12" t="s">
        <v>12</v>
      </c>
      <c r="C19" s="16" t="s">
        <v>89</v>
      </c>
    </row>
    <row r="20" spans="1:4" ht="15.75" x14ac:dyDescent="0.3">
      <c r="A20" s="11">
        <v>11</v>
      </c>
      <c r="B20" s="12" t="s">
        <v>128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94</v>
      </c>
    </row>
    <row r="22" spans="1:4" x14ac:dyDescent="0.2">
      <c r="A22" s="11">
        <v>13</v>
      </c>
      <c r="B22" s="17" t="s">
        <v>56</v>
      </c>
      <c r="C22" s="19" t="s">
        <v>57</v>
      </c>
    </row>
    <row r="23" spans="1:4" x14ac:dyDescent="0.2">
      <c r="A23" s="11">
        <v>14</v>
      </c>
      <c r="B23" s="17" t="s">
        <v>58</v>
      </c>
      <c r="C23" s="16" t="s">
        <v>32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129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35</v>
      </c>
    </row>
    <row r="27" spans="1:4" ht="15.75" x14ac:dyDescent="0.3">
      <c r="A27" s="11">
        <v>18</v>
      </c>
      <c r="B27" s="12" t="s">
        <v>37</v>
      </c>
      <c r="C27" s="34">
        <v>576538.48</v>
      </c>
    </row>
    <row r="28" spans="1:4" ht="15.75" x14ac:dyDescent="0.3">
      <c r="A28" s="11">
        <v>19</v>
      </c>
      <c r="B28" s="12" t="s">
        <v>132</v>
      </c>
      <c r="C28" s="34">
        <v>899012.04</v>
      </c>
    </row>
    <row r="29" spans="1:4" ht="15.75" x14ac:dyDescent="0.3">
      <c r="A29" s="11">
        <v>20</v>
      </c>
      <c r="B29" s="12" t="s">
        <v>130</v>
      </c>
      <c r="C29" s="19" t="s">
        <v>20</v>
      </c>
    </row>
    <row r="30" spans="1:4" x14ac:dyDescent="0.2">
      <c r="A30" s="11">
        <v>21</v>
      </c>
      <c r="B30" s="20" t="s">
        <v>59</v>
      </c>
      <c r="C30" s="14" t="s">
        <v>95</v>
      </c>
    </row>
    <row r="31" spans="1:4" ht="15.75" x14ac:dyDescent="0.3">
      <c r="A31" s="11">
        <v>22</v>
      </c>
      <c r="B31" s="21" t="s">
        <v>60</v>
      </c>
      <c r="C31" s="33">
        <f>288269.24+288269.24</f>
        <v>576538.48</v>
      </c>
    </row>
    <row r="32" spans="1:4" ht="15.75" x14ac:dyDescent="0.3">
      <c r="A32" s="11">
        <v>23</v>
      </c>
      <c r="B32" s="21" t="s">
        <v>61</v>
      </c>
      <c r="C32" s="33">
        <f>611189.87+229931.13+235767.57+231233.57</f>
        <v>1308122.1400000001</v>
      </c>
    </row>
    <row r="33" spans="1:5" ht="15.75" x14ac:dyDescent="0.3">
      <c r="A33" s="11">
        <v>24</v>
      </c>
      <c r="B33" s="21" t="s">
        <v>62</v>
      </c>
      <c r="C33" s="15" t="s">
        <v>20</v>
      </c>
    </row>
    <row r="34" spans="1:5" ht="15.75" x14ac:dyDescent="0.3">
      <c r="A34" s="11">
        <v>25</v>
      </c>
      <c r="B34" s="21" t="s">
        <v>63</v>
      </c>
      <c r="C34" s="33">
        <f>14559636.23+430363.77</f>
        <v>14990000</v>
      </c>
    </row>
    <row r="35" spans="1:5" ht="28.5" x14ac:dyDescent="0.3">
      <c r="A35" s="11">
        <v>26</v>
      </c>
      <c r="B35" s="21" t="s">
        <v>133</v>
      </c>
      <c r="C35" s="33">
        <f>D18-C34</f>
        <v>60010000</v>
      </c>
    </row>
    <row r="36" spans="1:5" ht="27" customHeight="1" x14ac:dyDescent="0.2">
      <c r="A36" s="11">
        <v>27</v>
      </c>
      <c r="B36" s="20" t="s">
        <v>134</v>
      </c>
      <c r="C36" s="33">
        <f>D18-C31</f>
        <v>74423461.519999996</v>
      </c>
      <c r="E36" s="66"/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64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65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109200+3228</f>
        <v>112428</v>
      </c>
    </row>
    <row r="43" spans="1:5" x14ac:dyDescent="0.2">
      <c r="A43" s="11">
        <v>34</v>
      </c>
      <c r="B43" s="20" t="s">
        <v>131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34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55</v>
      </c>
      <c r="C48" s="37">
        <f>'TL 15'!C48</f>
        <v>45338</v>
      </c>
    </row>
    <row r="49" spans="1:3" ht="15.75" x14ac:dyDescent="0.3">
      <c r="A49" s="2"/>
      <c r="B49" s="25" t="str">
        <f>'TL 20'!B49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2" right="0.2" top="0.5" bottom="0.2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0"/>
  <sheetViews>
    <sheetView topLeftCell="A28" zoomScale="118" zoomScaleNormal="118" workbookViewId="0">
      <selection activeCell="C32" sqref="C32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21.42578125" style="1" customWidth="1"/>
    <col min="6" max="16384" width="9.140625" style="1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s="7" customFormat="1" ht="16.5" x14ac:dyDescent="0.3">
      <c r="A4" s="70" t="s">
        <v>144</v>
      </c>
      <c r="B4" s="71"/>
      <c r="C4" s="72"/>
    </row>
    <row r="5" spans="1:3" s="7" customFormat="1" ht="16.5" x14ac:dyDescent="0.3">
      <c r="A5" s="47"/>
      <c r="B5" s="48"/>
      <c r="C5" s="49"/>
    </row>
    <row r="6" spans="1:3" s="7" customFormat="1" ht="16.5" x14ac:dyDescent="0.3">
      <c r="A6" s="50" t="s">
        <v>139</v>
      </c>
      <c r="B6" s="51" t="s">
        <v>141</v>
      </c>
      <c r="C6" s="52" t="s">
        <v>143</v>
      </c>
    </row>
    <row r="7" spans="1:3" s="7" customFormat="1" ht="16.5" x14ac:dyDescent="0.3">
      <c r="A7" s="50" t="s">
        <v>140</v>
      </c>
      <c r="B7" s="51" t="s">
        <v>142</v>
      </c>
      <c r="C7" s="52" t="s">
        <v>145</v>
      </c>
    </row>
    <row r="8" spans="1:3" s="7" customFormat="1" ht="16.5" x14ac:dyDescent="0.3">
      <c r="A8" s="53"/>
      <c r="B8" s="8"/>
      <c r="C8" s="54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22'!C11</f>
        <v>Ending December 31, 2023</v>
      </c>
    </row>
    <row r="12" spans="1:3" ht="15.75" x14ac:dyDescent="0.3">
      <c r="A12" s="11">
        <v>3</v>
      </c>
      <c r="B12" s="12" t="s">
        <v>124</v>
      </c>
      <c r="C12" s="13" t="s">
        <v>5</v>
      </c>
    </row>
    <row r="13" spans="1:3" ht="15.75" x14ac:dyDescent="0.3">
      <c r="A13" s="11">
        <v>4</v>
      </c>
      <c r="B13" s="12" t="s">
        <v>125</v>
      </c>
      <c r="C13" s="13" t="s">
        <v>83</v>
      </c>
    </row>
    <row r="14" spans="1:3" ht="15.75" x14ac:dyDescent="0.3">
      <c r="A14" s="11">
        <v>5</v>
      </c>
      <c r="B14" s="12" t="s">
        <v>6</v>
      </c>
      <c r="C14" s="15" t="s">
        <v>84</v>
      </c>
    </row>
    <row r="15" spans="1:3" ht="15.75" x14ac:dyDescent="0.3">
      <c r="A15" s="11">
        <v>6</v>
      </c>
      <c r="B15" s="12" t="s">
        <v>126</v>
      </c>
      <c r="C15" s="13" t="s">
        <v>85</v>
      </c>
    </row>
    <row r="16" spans="1:3" ht="15.75" x14ac:dyDescent="0.3">
      <c r="A16" s="11">
        <v>7</v>
      </c>
      <c r="B16" s="12" t="s">
        <v>7</v>
      </c>
      <c r="C16" s="15" t="s">
        <v>86</v>
      </c>
    </row>
    <row r="17" spans="1:4" ht="15.75" x14ac:dyDescent="0.3">
      <c r="A17" s="11">
        <v>8</v>
      </c>
      <c r="B17" s="12" t="s">
        <v>8</v>
      </c>
      <c r="C17" s="15" t="s">
        <v>87</v>
      </c>
    </row>
    <row r="18" spans="1:4" ht="15.75" x14ac:dyDescent="0.3">
      <c r="A18" s="11">
        <v>9</v>
      </c>
      <c r="B18" s="12" t="s">
        <v>127</v>
      </c>
      <c r="C18" s="13" t="s">
        <v>96</v>
      </c>
      <c r="D18" s="45">
        <v>40000000</v>
      </c>
    </row>
    <row r="19" spans="1:4" ht="15.75" x14ac:dyDescent="0.3">
      <c r="A19" s="11">
        <v>10</v>
      </c>
      <c r="B19" s="12" t="s">
        <v>12</v>
      </c>
      <c r="C19" s="16" t="s">
        <v>89</v>
      </c>
    </row>
    <row r="20" spans="1:4" ht="15.75" x14ac:dyDescent="0.3">
      <c r="A20" s="11">
        <v>11</v>
      </c>
      <c r="B20" s="12" t="s">
        <v>128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97</v>
      </c>
    </row>
    <row r="22" spans="1:4" x14ac:dyDescent="0.2">
      <c r="A22" s="11">
        <v>13</v>
      </c>
      <c r="B22" s="17" t="s">
        <v>56</v>
      </c>
      <c r="C22" s="19" t="s">
        <v>57</v>
      </c>
    </row>
    <row r="23" spans="1:4" x14ac:dyDescent="0.2">
      <c r="A23" s="11">
        <v>14</v>
      </c>
      <c r="B23" s="17" t="s">
        <v>58</v>
      </c>
      <c r="C23" s="16" t="s">
        <v>11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129</v>
      </c>
      <c r="C25" s="16" t="s">
        <v>98</v>
      </c>
    </row>
    <row r="26" spans="1:4" ht="15.75" x14ac:dyDescent="0.3">
      <c r="A26" s="11">
        <v>17</v>
      </c>
      <c r="B26" s="12" t="s">
        <v>14</v>
      </c>
      <c r="C26" s="16" t="s">
        <v>35</v>
      </c>
    </row>
    <row r="27" spans="1:4" ht="15.75" x14ac:dyDescent="0.3">
      <c r="A27" s="11">
        <v>18</v>
      </c>
      <c r="B27" s="12" t="s">
        <v>37</v>
      </c>
      <c r="C27" s="34">
        <v>2080920.96</v>
      </c>
    </row>
    <row r="28" spans="1:4" ht="15.75" x14ac:dyDescent="0.3">
      <c r="A28" s="11">
        <v>19</v>
      </c>
      <c r="B28" s="12" t="s">
        <v>132</v>
      </c>
      <c r="C28" s="34">
        <v>1050248.05</v>
      </c>
    </row>
    <row r="29" spans="1:4" ht="15.75" x14ac:dyDescent="0.3">
      <c r="A29" s="11">
        <v>20</v>
      </c>
      <c r="B29" s="12" t="s">
        <v>130</v>
      </c>
      <c r="C29" s="19" t="s">
        <v>20</v>
      </c>
    </row>
    <row r="30" spans="1:4" x14ac:dyDescent="0.2">
      <c r="A30" s="11">
        <v>21</v>
      </c>
      <c r="B30" s="20" t="s">
        <v>59</v>
      </c>
      <c r="C30" s="14" t="s">
        <v>93</v>
      </c>
    </row>
    <row r="31" spans="1:4" ht="15.75" x14ac:dyDescent="0.3">
      <c r="A31" s="11">
        <v>22</v>
      </c>
      <c r="B31" s="21" t="s">
        <v>60</v>
      </c>
      <c r="C31" s="33">
        <f>434640.86+505240.86+570519.62+570519.62</f>
        <v>2080920.96</v>
      </c>
    </row>
    <row r="32" spans="1:4" ht="15.75" x14ac:dyDescent="0.3">
      <c r="A32" s="11">
        <v>23</v>
      </c>
      <c r="B32" s="21" t="s">
        <v>61</v>
      </c>
      <c r="C32" s="33">
        <f>362459.7+250585.8+294877.04+298372.95</f>
        <v>1206295.49</v>
      </c>
    </row>
    <row r="33" spans="1:5" ht="15.75" x14ac:dyDescent="0.3">
      <c r="A33" s="11">
        <v>24</v>
      </c>
      <c r="B33" s="21" t="s">
        <v>62</v>
      </c>
      <c r="C33" s="15" t="s">
        <v>20</v>
      </c>
    </row>
    <row r="34" spans="1:5" ht="15.75" x14ac:dyDescent="0.3">
      <c r="A34" s="11">
        <v>25</v>
      </c>
      <c r="B34" s="21" t="s">
        <v>63</v>
      </c>
      <c r="C34" s="33">
        <f>15647070.85+2471000+2219478</f>
        <v>20337548.850000001</v>
      </c>
    </row>
    <row r="35" spans="1:5" ht="28.5" x14ac:dyDescent="0.3">
      <c r="A35" s="11">
        <v>26</v>
      </c>
      <c r="B35" s="21" t="s">
        <v>133</v>
      </c>
      <c r="C35" s="33">
        <f>D18-C34</f>
        <v>19662451.149999999</v>
      </c>
    </row>
    <row r="36" spans="1:5" ht="25.5" customHeight="1" x14ac:dyDescent="0.2">
      <c r="A36" s="11">
        <v>27</v>
      </c>
      <c r="B36" s="20" t="s">
        <v>134</v>
      </c>
      <c r="C36" s="33">
        <f>D18-C31</f>
        <v>37919079.039999999</v>
      </c>
      <c r="E36" s="66"/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64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65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117255.5+18532.5+16647</f>
        <v>152435</v>
      </c>
    </row>
    <row r="43" spans="1:5" x14ac:dyDescent="0.2">
      <c r="A43" s="11">
        <v>34</v>
      </c>
      <c r="B43" s="20" t="s">
        <v>131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34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55</v>
      </c>
      <c r="C48" s="37">
        <f>'TL 15'!C48</f>
        <v>45338</v>
      </c>
    </row>
    <row r="49" spans="1:3" ht="15.75" x14ac:dyDescent="0.3">
      <c r="A49" s="2"/>
      <c r="B49" s="25" t="str">
        <f>'TL 22'!B49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G50"/>
  <sheetViews>
    <sheetView topLeftCell="A28" zoomScale="118" zoomScaleNormal="118" workbookViewId="0">
      <selection activeCell="F47" sqref="F47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9.140625" style="1"/>
    <col min="6" max="6" width="20.42578125" style="1" bestFit="1" customWidth="1"/>
    <col min="7" max="7" width="26.85546875" style="1" customWidth="1"/>
    <col min="8" max="16384" width="9.140625" style="1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s="7" customFormat="1" ht="16.5" x14ac:dyDescent="0.3">
      <c r="A4" s="70" t="s">
        <v>144</v>
      </c>
      <c r="B4" s="71"/>
      <c r="C4" s="72"/>
    </row>
    <row r="5" spans="1:3" s="7" customFormat="1" ht="16.5" x14ac:dyDescent="0.3">
      <c r="A5" s="47"/>
      <c r="B5" s="48"/>
      <c r="C5" s="49"/>
    </row>
    <row r="6" spans="1:3" s="7" customFormat="1" ht="16.5" x14ac:dyDescent="0.3">
      <c r="A6" s="50" t="s">
        <v>139</v>
      </c>
      <c r="B6" s="51" t="s">
        <v>141</v>
      </c>
      <c r="C6" s="52" t="s">
        <v>143</v>
      </c>
    </row>
    <row r="7" spans="1:3" s="7" customFormat="1" ht="16.5" x14ac:dyDescent="0.3">
      <c r="A7" s="50" t="s">
        <v>140</v>
      </c>
      <c r="B7" s="51" t="s">
        <v>142</v>
      </c>
      <c r="C7" s="52" t="s">
        <v>145</v>
      </c>
    </row>
    <row r="8" spans="1:3" s="7" customFormat="1" ht="16.5" x14ac:dyDescent="0.3">
      <c r="A8" s="53"/>
      <c r="B8" s="8"/>
      <c r="C8" s="54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22'!C11</f>
        <v>Ending December 31, 2023</v>
      </c>
    </row>
    <row r="12" spans="1:3" ht="15.75" x14ac:dyDescent="0.3">
      <c r="A12" s="11">
        <v>3</v>
      </c>
      <c r="B12" s="12" t="s">
        <v>124</v>
      </c>
      <c r="C12" s="13" t="s">
        <v>5</v>
      </c>
    </row>
    <row r="13" spans="1:3" ht="15.75" x14ac:dyDescent="0.3">
      <c r="A13" s="11">
        <v>4</v>
      </c>
      <c r="B13" s="12" t="s">
        <v>125</v>
      </c>
      <c r="C13" s="13" t="s">
        <v>83</v>
      </c>
    </row>
    <row r="14" spans="1:3" ht="15.75" x14ac:dyDescent="0.3">
      <c r="A14" s="11">
        <v>5</v>
      </c>
      <c r="B14" s="12" t="s">
        <v>6</v>
      </c>
      <c r="C14" s="15" t="s">
        <v>84</v>
      </c>
    </row>
    <row r="15" spans="1:3" ht="15.75" x14ac:dyDescent="0.3">
      <c r="A15" s="11">
        <v>6</v>
      </c>
      <c r="B15" s="12" t="s">
        <v>126</v>
      </c>
      <c r="C15" s="13" t="s">
        <v>85</v>
      </c>
    </row>
    <row r="16" spans="1:3" ht="15.75" x14ac:dyDescent="0.3">
      <c r="A16" s="11">
        <v>7</v>
      </c>
      <c r="B16" s="12" t="s">
        <v>7</v>
      </c>
      <c r="C16" s="15" t="s">
        <v>86</v>
      </c>
    </row>
    <row r="17" spans="1:4" ht="15.75" x14ac:dyDescent="0.3">
      <c r="A17" s="11">
        <v>8</v>
      </c>
      <c r="B17" s="12" t="s">
        <v>8</v>
      </c>
      <c r="C17" s="15" t="s">
        <v>87</v>
      </c>
    </row>
    <row r="18" spans="1:4" ht="15.75" x14ac:dyDescent="0.3">
      <c r="A18" s="11">
        <v>9</v>
      </c>
      <c r="B18" s="12" t="s">
        <v>127</v>
      </c>
      <c r="C18" s="13" t="s">
        <v>113</v>
      </c>
      <c r="D18" s="45">
        <v>330000000</v>
      </c>
    </row>
    <row r="19" spans="1:4" ht="15.75" x14ac:dyDescent="0.3">
      <c r="A19" s="11">
        <v>10</v>
      </c>
      <c r="B19" s="12" t="s">
        <v>12</v>
      </c>
      <c r="C19" s="16" t="s">
        <v>114</v>
      </c>
    </row>
    <row r="20" spans="1:4" ht="15.75" x14ac:dyDescent="0.3">
      <c r="A20" s="11">
        <v>11</v>
      </c>
      <c r="B20" s="12" t="s">
        <v>128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115</v>
      </c>
    </row>
    <row r="22" spans="1:4" x14ac:dyDescent="0.2">
      <c r="A22" s="11">
        <v>13</v>
      </c>
      <c r="B22" s="17" t="s">
        <v>56</v>
      </c>
      <c r="C22" s="19" t="s">
        <v>57</v>
      </c>
    </row>
    <row r="23" spans="1:4" x14ac:dyDescent="0.2">
      <c r="A23" s="11">
        <v>14</v>
      </c>
      <c r="B23" s="17" t="s">
        <v>58</v>
      </c>
      <c r="C23" s="16" t="s">
        <v>11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129</v>
      </c>
      <c r="C25" s="16" t="s">
        <v>98</v>
      </c>
    </row>
    <row r="26" spans="1:4" ht="15.75" x14ac:dyDescent="0.3">
      <c r="A26" s="11">
        <v>17</v>
      </c>
      <c r="B26" s="12" t="s">
        <v>14</v>
      </c>
      <c r="C26" s="16" t="s">
        <v>35</v>
      </c>
    </row>
    <row r="27" spans="1:4" ht="15.75" x14ac:dyDescent="0.3">
      <c r="A27" s="11">
        <v>18</v>
      </c>
      <c r="B27" s="12" t="s">
        <v>37</v>
      </c>
      <c r="C27" s="34">
        <v>14695343.74</v>
      </c>
    </row>
    <row r="28" spans="1:4" ht="15.75" x14ac:dyDescent="0.3">
      <c r="A28" s="11">
        <v>19</v>
      </c>
      <c r="B28" s="12" t="s">
        <v>132</v>
      </c>
      <c r="C28" s="34">
        <v>14256084.789999999</v>
      </c>
    </row>
    <row r="29" spans="1:4" ht="15.75" x14ac:dyDescent="0.3">
      <c r="A29" s="11">
        <v>20</v>
      </c>
      <c r="B29" s="12" t="s">
        <v>130</v>
      </c>
      <c r="C29" s="19" t="s">
        <v>20</v>
      </c>
    </row>
    <row r="30" spans="1:4" x14ac:dyDescent="0.2">
      <c r="A30" s="11">
        <v>21</v>
      </c>
      <c r="B30" s="20" t="s">
        <v>59</v>
      </c>
      <c r="C30" s="14" t="s">
        <v>93</v>
      </c>
    </row>
    <row r="31" spans="1:4" ht="15.75" x14ac:dyDescent="0.3">
      <c r="A31" s="11">
        <v>22</v>
      </c>
      <c r="B31" s="21" t="s">
        <v>60</v>
      </c>
      <c r="C31" s="33">
        <f>7035722.33+7659621.41+91737.95</f>
        <v>14787081.689999999</v>
      </c>
    </row>
    <row r="32" spans="1:4" ht="15.75" x14ac:dyDescent="0.3">
      <c r="A32" s="11">
        <v>23</v>
      </c>
      <c r="B32" s="21" t="s">
        <v>61</v>
      </c>
      <c r="C32" s="33">
        <f>3120704.13+3419572.54+3987748.92+91000+4353595.72</f>
        <v>14972621.309999999</v>
      </c>
    </row>
    <row r="33" spans="1:7" ht="15.75" x14ac:dyDescent="0.3">
      <c r="A33" s="11">
        <v>24</v>
      </c>
      <c r="B33" s="21" t="s">
        <v>62</v>
      </c>
      <c r="C33" s="15" t="s">
        <v>20</v>
      </c>
    </row>
    <row r="34" spans="1:7" ht="15.75" x14ac:dyDescent="0.3">
      <c r="A34" s="11">
        <v>25</v>
      </c>
      <c r="B34" s="21" t="s">
        <v>63</v>
      </c>
      <c r="C34" s="33">
        <f>228508605.93+21018494.31+11694267.29+26373528.4</f>
        <v>287594895.93000001</v>
      </c>
      <c r="G34" s="66"/>
    </row>
    <row r="35" spans="1:7" ht="28.5" x14ac:dyDescent="0.3">
      <c r="A35" s="11">
        <v>26</v>
      </c>
      <c r="B35" s="21" t="s">
        <v>133</v>
      </c>
      <c r="C35" s="33">
        <f>D18-C34</f>
        <v>42405104.069999993</v>
      </c>
      <c r="F35" s="59"/>
      <c r="G35" s="66"/>
    </row>
    <row r="36" spans="1:7" ht="30.75" customHeight="1" x14ac:dyDescent="0.2">
      <c r="A36" s="11">
        <v>27</v>
      </c>
      <c r="B36" s="20" t="s">
        <v>134</v>
      </c>
      <c r="C36" s="33">
        <f>D18-C31</f>
        <v>315212918.31</v>
      </c>
      <c r="F36" s="69">
        <f>C34-C31</f>
        <v>272807814.24000001</v>
      </c>
    </row>
    <row r="37" spans="1:7" x14ac:dyDescent="0.2">
      <c r="A37" s="11">
        <v>28</v>
      </c>
      <c r="B37" s="20" t="s">
        <v>19</v>
      </c>
      <c r="C37" s="13" t="s">
        <v>20</v>
      </c>
      <c r="F37" s="59"/>
    </row>
    <row r="38" spans="1:7" x14ac:dyDescent="0.2">
      <c r="A38" s="11">
        <v>29</v>
      </c>
      <c r="B38" s="20" t="s">
        <v>21</v>
      </c>
      <c r="C38" s="13" t="s">
        <v>20</v>
      </c>
      <c r="F38" s="59"/>
    </row>
    <row r="39" spans="1:7" x14ac:dyDescent="0.2">
      <c r="A39" s="11">
        <v>30</v>
      </c>
      <c r="B39" s="20" t="s">
        <v>22</v>
      </c>
      <c r="C39" s="13" t="s">
        <v>64</v>
      </c>
      <c r="F39" s="59"/>
    </row>
    <row r="40" spans="1:7" x14ac:dyDescent="0.2">
      <c r="A40" s="11">
        <v>31</v>
      </c>
      <c r="B40" s="20" t="s">
        <v>23</v>
      </c>
      <c r="C40" s="13" t="s">
        <v>20</v>
      </c>
      <c r="F40" s="59"/>
    </row>
    <row r="41" spans="1:7" x14ac:dyDescent="0.2">
      <c r="A41" s="11">
        <v>32</v>
      </c>
      <c r="B41" s="20" t="s">
        <v>65</v>
      </c>
      <c r="C41" s="13" t="s">
        <v>20</v>
      </c>
      <c r="F41" s="59"/>
    </row>
    <row r="42" spans="1:7" x14ac:dyDescent="0.2">
      <c r="A42" s="11">
        <v>33</v>
      </c>
      <c r="B42" s="20" t="s">
        <v>24</v>
      </c>
      <c r="C42" s="34">
        <f>1713832.5+157641+87709.5+93547.5</f>
        <v>2052730.5</v>
      </c>
      <c r="F42" s="59">
        <f>24082.5+26332.5+20110.5+23022</f>
        <v>93547.5</v>
      </c>
    </row>
    <row r="43" spans="1:7" x14ac:dyDescent="0.2">
      <c r="A43" s="11">
        <v>34</v>
      </c>
      <c r="B43" s="20" t="s">
        <v>131</v>
      </c>
      <c r="C43" s="13" t="s">
        <v>20</v>
      </c>
    </row>
    <row r="44" spans="1:7" x14ac:dyDescent="0.2">
      <c r="A44" s="4"/>
      <c r="B44" s="5"/>
      <c r="C44" s="6"/>
    </row>
    <row r="45" spans="1:7" ht="15.75" x14ac:dyDescent="0.3">
      <c r="A45" s="2"/>
      <c r="B45" s="26" t="s">
        <v>34</v>
      </c>
      <c r="C45" s="27" t="s">
        <v>25</v>
      </c>
    </row>
    <row r="46" spans="1:7" ht="15.75" x14ac:dyDescent="0.3">
      <c r="A46" s="2"/>
      <c r="B46" s="26"/>
      <c r="C46" s="36"/>
    </row>
    <row r="47" spans="1:7" ht="15.75" x14ac:dyDescent="0.3">
      <c r="A47" s="2"/>
      <c r="B47" s="26"/>
      <c r="C47" s="36"/>
    </row>
    <row r="48" spans="1:7" ht="15" x14ac:dyDescent="0.25">
      <c r="A48" s="2"/>
      <c r="B48" s="28" t="s">
        <v>55</v>
      </c>
      <c r="C48" s="37">
        <f>'TL 15'!C48</f>
        <v>45338</v>
      </c>
    </row>
    <row r="49" spans="1:3" ht="15.75" x14ac:dyDescent="0.3">
      <c r="A49" s="2"/>
      <c r="B49" s="25" t="str">
        <f>'TL 22'!B49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0"/>
  <sheetViews>
    <sheetView topLeftCell="A37" zoomScale="136" zoomScaleNormal="136" workbookViewId="0">
      <selection activeCell="F35" sqref="F35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9.140625" style="1"/>
    <col min="6" max="6" width="23.85546875" style="1" customWidth="1"/>
    <col min="7" max="7" width="18.42578125" style="1" customWidth="1"/>
    <col min="8" max="16384" width="9.140625" style="1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s="7" customFormat="1" ht="16.5" x14ac:dyDescent="0.3">
      <c r="A4" s="70" t="s">
        <v>144</v>
      </c>
      <c r="B4" s="71"/>
      <c r="C4" s="72"/>
    </row>
    <row r="5" spans="1:3" s="7" customFormat="1" ht="16.5" x14ac:dyDescent="0.3">
      <c r="A5" s="47"/>
      <c r="B5" s="48"/>
      <c r="C5" s="49"/>
    </row>
    <row r="6" spans="1:3" s="7" customFormat="1" ht="16.5" x14ac:dyDescent="0.3">
      <c r="A6" s="50" t="s">
        <v>139</v>
      </c>
      <c r="B6" s="51" t="s">
        <v>141</v>
      </c>
      <c r="C6" s="52" t="s">
        <v>143</v>
      </c>
    </row>
    <row r="7" spans="1:3" s="7" customFormat="1" ht="16.5" x14ac:dyDescent="0.3">
      <c r="A7" s="50" t="s">
        <v>140</v>
      </c>
      <c r="B7" s="51" t="s">
        <v>142</v>
      </c>
      <c r="C7" s="52" t="s">
        <v>145</v>
      </c>
    </row>
    <row r="8" spans="1:3" s="7" customFormat="1" ht="16.5" x14ac:dyDescent="0.3">
      <c r="A8" s="53"/>
      <c r="B8" s="8"/>
      <c r="C8" s="54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24'!C11</f>
        <v>Ending December 31, 2023</v>
      </c>
    </row>
    <row r="12" spans="1:3" ht="15.75" x14ac:dyDescent="0.3">
      <c r="A12" s="11">
        <v>3</v>
      </c>
      <c r="B12" s="12" t="s">
        <v>124</v>
      </c>
      <c r="C12" s="13" t="s">
        <v>5</v>
      </c>
    </row>
    <row r="13" spans="1:3" ht="15.75" x14ac:dyDescent="0.3">
      <c r="A13" s="11">
        <v>4</v>
      </c>
      <c r="B13" s="12" t="s">
        <v>125</v>
      </c>
      <c r="C13" s="13" t="s">
        <v>83</v>
      </c>
    </row>
    <row r="14" spans="1:3" ht="15.75" x14ac:dyDescent="0.3">
      <c r="A14" s="11">
        <v>5</v>
      </c>
      <c r="B14" s="12" t="s">
        <v>6</v>
      </c>
      <c r="C14" s="15" t="s">
        <v>84</v>
      </c>
    </row>
    <row r="15" spans="1:3" ht="15.75" x14ac:dyDescent="0.3">
      <c r="A15" s="11">
        <v>6</v>
      </c>
      <c r="B15" s="12" t="s">
        <v>126</v>
      </c>
      <c r="C15" s="13" t="s">
        <v>85</v>
      </c>
    </row>
    <row r="16" spans="1:3" ht="15.75" x14ac:dyDescent="0.3">
      <c r="A16" s="11">
        <v>7</v>
      </c>
      <c r="B16" s="12" t="s">
        <v>7</v>
      </c>
      <c r="C16" s="15" t="s">
        <v>86</v>
      </c>
    </row>
    <row r="17" spans="1:4" ht="15.75" x14ac:dyDescent="0.3">
      <c r="A17" s="11">
        <v>8</v>
      </c>
      <c r="B17" s="12" t="s">
        <v>8</v>
      </c>
      <c r="C17" s="15" t="s">
        <v>99</v>
      </c>
    </row>
    <row r="18" spans="1:4" ht="15.75" x14ac:dyDescent="0.3">
      <c r="A18" s="11">
        <v>9</v>
      </c>
      <c r="B18" s="12" t="s">
        <v>127</v>
      </c>
      <c r="C18" s="13" t="s">
        <v>100</v>
      </c>
      <c r="D18" s="45">
        <v>200000000</v>
      </c>
    </row>
    <row r="19" spans="1:4" ht="15.75" x14ac:dyDescent="0.3">
      <c r="A19" s="11">
        <v>10</v>
      </c>
      <c r="B19" s="12" t="s">
        <v>12</v>
      </c>
      <c r="C19" s="16" t="s">
        <v>101</v>
      </c>
    </row>
    <row r="20" spans="1:4" ht="15.75" x14ac:dyDescent="0.3">
      <c r="A20" s="11">
        <v>11</v>
      </c>
      <c r="B20" s="12" t="s">
        <v>128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102</v>
      </c>
    </row>
    <row r="22" spans="1:4" x14ac:dyDescent="0.2">
      <c r="A22" s="11">
        <v>13</v>
      </c>
      <c r="B22" s="17" t="s">
        <v>56</v>
      </c>
      <c r="C22" s="19" t="s">
        <v>57</v>
      </c>
    </row>
    <row r="23" spans="1:4" x14ac:dyDescent="0.2">
      <c r="A23" s="11">
        <v>14</v>
      </c>
      <c r="B23" s="17" t="s">
        <v>58</v>
      </c>
      <c r="C23" s="16" t="s">
        <v>32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129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35</v>
      </c>
    </row>
    <row r="27" spans="1:4" ht="15.75" x14ac:dyDescent="0.3">
      <c r="A27" s="11">
        <v>18</v>
      </c>
      <c r="B27" s="12" t="s">
        <v>37</v>
      </c>
      <c r="C27" s="34">
        <v>0</v>
      </c>
    </row>
    <row r="28" spans="1:4" ht="15.75" x14ac:dyDescent="0.3">
      <c r="A28" s="11">
        <v>19</v>
      </c>
      <c r="B28" s="12" t="s">
        <v>132</v>
      </c>
      <c r="C28" s="34">
        <v>5469247.3700000001</v>
      </c>
    </row>
    <row r="29" spans="1:4" ht="15.75" x14ac:dyDescent="0.3">
      <c r="A29" s="11">
        <v>20</v>
      </c>
      <c r="B29" s="12" t="s">
        <v>130</v>
      </c>
      <c r="C29" s="19" t="s">
        <v>20</v>
      </c>
    </row>
    <row r="30" spans="1:4" x14ac:dyDescent="0.2">
      <c r="A30" s="11">
        <v>21</v>
      </c>
      <c r="B30" s="20" t="s">
        <v>59</v>
      </c>
      <c r="C30" s="14" t="s">
        <v>103</v>
      </c>
    </row>
    <row r="31" spans="1:4" ht="15.75" x14ac:dyDescent="0.3">
      <c r="A31" s="11">
        <v>22</v>
      </c>
      <c r="B31" s="21" t="s">
        <v>60</v>
      </c>
      <c r="C31" s="33">
        <v>0</v>
      </c>
    </row>
    <row r="32" spans="1:4" ht="15.75" x14ac:dyDescent="0.3">
      <c r="A32" s="11">
        <v>23</v>
      </c>
      <c r="B32" s="21" t="s">
        <v>61</v>
      </c>
      <c r="C32" s="33">
        <f>4996111.48+1708062.33</f>
        <v>6704173.8100000005</v>
      </c>
    </row>
    <row r="33" spans="1:6" ht="15.75" x14ac:dyDescent="0.3">
      <c r="A33" s="11">
        <v>24</v>
      </c>
      <c r="B33" s="21" t="s">
        <v>62</v>
      </c>
      <c r="C33" s="15" t="s">
        <v>20</v>
      </c>
    </row>
    <row r="34" spans="1:6" ht="15.75" x14ac:dyDescent="0.3">
      <c r="A34" s="11">
        <v>25</v>
      </c>
      <c r="B34" s="21" t="s">
        <v>63</v>
      </c>
      <c r="C34" s="33">
        <f>84004331.91+5643000+15577026.87+11602478</f>
        <v>116826836.78</v>
      </c>
    </row>
    <row r="35" spans="1:6" ht="28.5" x14ac:dyDescent="0.3">
      <c r="A35" s="11">
        <v>26</v>
      </c>
      <c r="B35" s="21" t="s">
        <v>133</v>
      </c>
      <c r="C35" s="33">
        <f>D18-C34</f>
        <v>83173163.219999999</v>
      </c>
      <c r="F35" s="66"/>
    </row>
    <row r="36" spans="1:6" ht="27" customHeight="1" x14ac:dyDescent="0.2">
      <c r="A36" s="11">
        <v>27</v>
      </c>
      <c r="B36" s="20" t="s">
        <v>134</v>
      </c>
      <c r="C36" s="33">
        <f>D18-C31</f>
        <v>200000000</v>
      </c>
    </row>
    <row r="37" spans="1:6" x14ac:dyDescent="0.2">
      <c r="A37" s="11">
        <v>28</v>
      </c>
      <c r="B37" s="20" t="s">
        <v>19</v>
      </c>
      <c r="C37" s="13" t="s">
        <v>20</v>
      </c>
    </row>
    <row r="38" spans="1:6" x14ac:dyDescent="0.2">
      <c r="A38" s="11">
        <v>29</v>
      </c>
      <c r="B38" s="20" t="s">
        <v>21</v>
      </c>
      <c r="C38" s="13" t="s">
        <v>20</v>
      </c>
    </row>
    <row r="39" spans="1:6" x14ac:dyDescent="0.2">
      <c r="A39" s="11">
        <v>30</v>
      </c>
      <c r="B39" s="20" t="s">
        <v>22</v>
      </c>
      <c r="C39" s="13" t="s">
        <v>64</v>
      </c>
    </row>
    <row r="40" spans="1:6" x14ac:dyDescent="0.2">
      <c r="A40" s="11">
        <v>31</v>
      </c>
      <c r="B40" s="20" t="s">
        <v>23</v>
      </c>
      <c r="C40" s="13" t="s">
        <v>20</v>
      </c>
    </row>
    <row r="41" spans="1:6" x14ac:dyDescent="0.2">
      <c r="A41" s="11">
        <v>32</v>
      </c>
      <c r="B41" s="20" t="s">
        <v>65</v>
      </c>
      <c r="C41" s="13" t="s">
        <v>20</v>
      </c>
    </row>
    <row r="42" spans="1:6" x14ac:dyDescent="0.2">
      <c r="A42" s="11">
        <v>33</v>
      </c>
      <c r="B42" s="20" t="s">
        <v>24</v>
      </c>
      <c r="C42" s="34">
        <f>526185+42322.5+116830.5+87019.5</f>
        <v>772357.5</v>
      </c>
    </row>
    <row r="43" spans="1:6" x14ac:dyDescent="0.2">
      <c r="A43" s="11">
        <v>34</v>
      </c>
      <c r="B43" s="20" t="s">
        <v>131</v>
      </c>
      <c r="C43" s="13" t="s">
        <v>20</v>
      </c>
    </row>
    <row r="44" spans="1:6" x14ac:dyDescent="0.2">
      <c r="A44" s="4"/>
      <c r="B44" s="5"/>
      <c r="C44" s="6"/>
    </row>
    <row r="45" spans="1:6" ht="15.75" x14ac:dyDescent="0.3">
      <c r="A45" s="2"/>
      <c r="B45" s="26" t="s">
        <v>34</v>
      </c>
      <c r="C45" s="27" t="s">
        <v>25</v>
      </c>
    </row>
    <row r="46" spans="1:6" ht="15.75" x14ac:dyDescent="0.3">
      <c r="A46" s="2"/>
      <c r="B46" s="26"/>
      <c r="C46" s="36"/>
    </row>
    <row r="47" spans="1:6" ht="15.75" x14ac:dyDescent="0.3">
      <c r="A47" s="2"/>
      <c r="B47" s="26"/>
      <c r="C47" s="36"/>
    </row>
    <row r="48" spans="1:6" ht="15" x14ac:dyDescent="0.25">
      <c r="A48" s="2"/>
      <c r="B48" s="28" t="s">
        <v>55</v>
      </c>
      <c r="C48" s="37">
        <f>'TL 15'!C48</f>
        <v>45338</v>
      </c>
    </row>
    <row r="49" spans="1:3" ht="15.75" x14ac:dyDescent="0.3">
      <c r="A49" s="2"/>
      <c r="B49" s="25" t="str">
        <f>'TL 24'!B49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0"/>
  <sheetViews>
    <sheetView topLeftCell="A28" zoomScale="112" zoomScaleNormal="112" workbookViewId="0">
      <selection activeCell="E35" sqref="E35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20" style="1" customWidth="1"/>
    <col min="6" max="16384" width="9.140625" style="1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s="7" customFormat="1" ht="16.5" x14ac:dyDescent="0.3">
      <c r="A4" s="70" t="s">
        <v>144</v>
      </c>
      <c r="B4" s="71"/>
      <c r="C4" s="72"/>
    </row>
    <row r="5" spans="1:3" s="7" customFormat="1" ht="16.5" x14ac:dyDescent="0.3">
      <c r="A5" s="47"/>
      <c r="B5" s="48"/>
      <c r="C5" s="49"/>
    </row>
    <row r="6" spans="1:3" s="7" customFormat="1" ht="16.5" x14ac:dyDescent="0.3">
      <c r="A6" s="50" t="s">
        <v>139</v>
      </c>
      <c r="B6" s="51" t="s">
        <v>141</v>
      </c>
      <c r="C6" s="52" t="s">
        <v>143</v>
      </c>
    </row>
    <row r="7" spans="1:3" s="7" customFormat="1" ht="16.5" x14ac:dyDescent="0.3">
      <c r="A7" s="50" t="s">
        <v>140</v>
      </c>
      <c r="B7" s="51" t="s">
        <v>142</v>
      </c>
      <c r="C7" s="52" t="s">
        <v>145</v>
      </c>
    </row>
    <row r="8" spans="1:3" s="7" customFormat="1" ht="16.5" x14ac:dyDescent="0.3">
      <c r="A8" s="53"/>
      <c r="B8" s="8"/>
      <c r="C8" s="54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26'!C11</f>
        <v>Ending December 31, 2023</v>
      </c>
    </row>
    <row r="12" spans="1:3" ht="15.75" x14ac:dyDescent="0.3">
      <c r="A12" s="11">
        <v>3</v>
      </c>
      <c r="B12" s="12" t="s">
        <v>124</v>
      </c>
      <c r="C12" s="13" t="s">
        <v>5</v>
      </c>
    </row>
    <row r="13" spans="1:3" ht="15.75" x14ac:dyDescent="0.3">
      <c r="A13" s="11">
        <v>4</v>
      </c>
      <c r="B13" s="12" t="s">
        <v>125</v>
      </c>
      <c r="C13" s="13" t="s">
        <v>83</v>
      </c>
    </row>
    <row r="14" spans="1:3" ht="15.75" x14ac:dyDescent="0.3">
      <c r="A14" s="11">
        <v>5</v>
      </c>
      <c r="B14" s="12" t="s">
        <v>6</v>
      </c>
      <c r="C14" s="15" t="s">
        <v>84</v>
      </c>
    </row>
    <row r="15" spans="1:3" ht="15.75" x14ac:dyDescent="0.3">
      <c r="A15" s="11">
        <v>6</v>
      </c>
      <c r="B15" s="12" t="s">
        <v>126</v>
      </c>
      <c r="C15" s="13" t="s">
        <v>85</v>
      </c>
    </row>
    <row r="16" spans="1:3" ht="15.75" x14ac:dyDescent="0.3">
      <c r="A16" s="11">
        <v>7</v>
      </c>
      <c r="B16" s="12" t="s">
        <v>7</v>
      </c>
      <c r="C16" s="15" t="s">
        <v>86</v>
      </c>
    </row>
    <row r="17" spans="1:4" ht="15.75" x14ac:dyDescent="0.3">
      <c r="A17" s="11">
        <v>8</v>
      </c>
      <c r="B17" s="12" t="s">
        <v>8</v>
      </c>
      <c r="C17" s="15" t="s">
        <v>99</v>
      </c>
    </row>
    <row r="18" spans="1:4" ht="15.75" x14ac:dyDescent="0.3">
      <c r="A18" s="11">
        <v>9</v>
      </c>
      <c r="B18" s="12" t="s">
        <v>127</v>
      </c>
      <c r="C18" s="13" t="s">
        <v>104</v>
      </c>
      <c r="D18" s="45">
        <v>100000000</v>
      </c>
    </row>
    <row r="19" spans="1:4" ht="15.75" x14ac:dyDescent="0.3">
      <c r="A19" s="11">
        <v>10</v>
      </c>
      <c r="B19" s="12" t="s">
        <v>12</v>
      </c>
      <c r="C19" s="16" t="s">
        <v>107</v>
      </c>
    </row>
    <row r="20" spans="1:4" ht="15.75" x14ac:dyDescent="0.3">
      <c r="A20" s="11">
        <v>11</v>
      </c>
      <c r="B20" s="12" t="s">
        <v>128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105</v>
      </c>
    </row>
    <row r="22" spans="1:4" x14ac:dyDescent="0.2">
      <c r="A22" s="11">
        <v>13</v>
      </c>
      <c r="B22" s="17" t="s">
        <v>56</v>
      </c>
      <c r="C22" s="19" t="s">
        <v>57</v>
      </c>
    </row>
    <row r="23" spans="1:4" x14ac:dyDescent="0.2">
      <c r="A23" s="11">
        <v>14</v>
      </c>
      <c r="B23" s="17" t="s">
        <v>58</v>
      </c>
      <c r="C23" s="16" t="s">
        <v>32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129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35</v>
      </c>
    </row>
    <row r="27" spans="1:4" ht="15.75" x14ac:dyDescent="0.3">
      <c r="A27" s="11">
        <v>18</v>
      </c>
      <c r="B27" s="12" t="s">
        <v>37</v>
      </c>
      <c r="C27" s="34">
        <v>990566.04</v>
      </c>
    </row>
    <row r="28" spans="1:4" ht="15.75" x14ac:dyDescent="0.3">
      <c r="A28" s="11">
        <v>19</v>
      </c>
      <c r="B28" s="12" t="s">
        <v>132</v>
      </c>
      <c r="C28" s="34">
        <v>835839.85</v>
      </c>
    </row>
    <row r="29" spans="1:4" ht="15.75" x14ac:dyDescent="0.3">
      <c r="A29" s="11">
        <v>20</v>
      </c>
      <c r="B29" s="12" t="s">
        <v>130</v>
      </c>
      <c r="C29" s="19" t="s">
        <v>20</v>
      </c>
    </row>
    <row r="30" spans="1:4" x14ac:dyDescent="0.2">
      <c r="A30" s="11">
        <v>21</v>
      </c>
      <c r="B30" s="20" t="s">
        <v>59</v>
      </c>
      <c r="C30" s="14" t="s">
        <v>106</v>
      </c>
    </row>
    <row r="31" spans="1:4" ht="15.75" x14ac:dyDescent="0.3">
      <c r="A31" s="11">
        <v>22</v>
      </c>
      <c r="B31" s="21" t="s">
        <v>60</v>
      </c>
      <c r="C31" s="33">
        <f>250000+125000+370283.02+370283.02</f>
        <v>1115566.04</v>
      </c>
    </row>
    <row r="32" spans="1:4" ht="15.75" x14ac:dyDescent="0.3">
      <c r="A32" s="11">
        <v>23</v>
      </c>
      <c r="B32" s="21" t="s">
        <v>61</v>
      </c>
      <c r="C32" s="33">
        <f>354960.62+106021.23+330934.59+324690.54</f>
        <v>1116606.98</v>
      </c>
    </row>
    <row r="33" spans="1:5" ht="15.75" x14ac:dyDescent="0.3">
      <c r="A33" s="11">
        <v>24</v>
      </c>
      <c r="B33" s="21" t="s">
        <v>62</v>
      </c>
      <c r="C33" s="15" t="s">
        <v>20</v>
      </c>
    </row>
    <row r="34" spans="1:5" ht="15.75" x14ac:dyDescent="0.3">
      <c r="A34" s="11">
        <v>25</v>
      </c>
      <c r="B34" s="21" t="s">
        <v>63</v>
      </c>
      <c r="C34" s="33">
        <f>7000000+13000000</f>
        <v>20000000</v>
      </c>
      <c r="E34" s="66">
        <f>C34-C31</f>
        <v>18884433.960000001</v>
      </c>
    </row>
    <row r="35" spans="1:5" ht="28.5" x14ac:dyDescent="0.3">
      <c r="A35" s="11">
        <v>26</v>
      </c>
      <c r="B35" s="21" t="s">
        <v>133</v>
      </c>
      <c r="C35" s="33">
        <f>D18-C34</f>
        <v>80000000</v>
      </c>
    </row>
    <row r="36" spans="1:5" ht="24" customHeight="1" x14ac:dyDescent="0.2">
      <c r="A36" s="11">
        <v>27</v>
      </c>
      <c r="B36" s="20" t="s">
        <v>134</v>
      </c>
      <c r="C36" s="33">
        <f>D18-C31</f>
        <v>98884433.959999993</v>
      </c>
      <c r="E36" s="66"/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64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65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125000+97500</f>
        <v>222500</v>
      </c>
    </row>
    <row r="43" spans="1:5" x14ac:dyDescent="0.2">
      <c r="A43" s="11">
        <v>34</v>
      </c>
      <c r="B43" s="20" t="s">
        <v>131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34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55</v>
      </c>
      <c r="C48" s="37">
        <f>'TL 15'!C48</f>
        <v>45338</v>
      </c>
    </row>
    <row r="49" spans="1:3" ht="15.75" x14ac:dyDescent="0.3">
      <c r="A49" s="2"/>
      <c r="B49" s="25" t="str">
        <f>'TL 26'!B49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50"/>
  <sheetViews>
    <sheetView topLeftCell="A19" zoomScale="112" zoomScaleNormal="112" workbookViewId="0">
      <selection activeCell="C37" sqref="C37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4.5703125" style="1" hidden="1" customWidth="1"/>
    <col min="5" max="5" width="22.5703125" style="1" customWidth="1"/>
    <col min="6" max="16384" width="9.140625" style="1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s="7" customFormat="1" ht="16.5" x14ac:dyDescent="0.3">
      <c r="A4" s="70" t="s">
        <v>144</v>
      </c>
      <c r="B4" s="71"/>
      <c r="C4" s="72"/>
    </row>
    <row r="5" spans="1:3" s="7" customFormat="1" ht="16.5" x14ac:dyDescent="0.3">
      <c r="A5" s="47"/>
      <c r="B5" s="48"/>
      <c r="C5" s="49"/>
    </row>
    <row r="6" spans="1:3" s="7" customFormat="1" ht="16.5" x14ac:dyDescent="0.3">
      <c r="A6" s="50" t="s">
        <v>139</v>
      </c>
      <c r="B6" s="51" t="s">
        <v>141</v>
      </c>
      <c r="C6" s="52" t="s">
        <v>143</v>
      </c>
    </row>
    <row r="7" spans="1:3" s="7" customFormat="1" ht="16.5" x14ac:dyDescent="0.3">
      <c r="A7" s="50" t="s">
        <v>140</v>
      </c>
      <c r="B7" s="51" t="s">
        <v>142</v>
      </c>
      <c r="C7" s="52" t="s">
        <v>145</v>
      </c>
    </row>
    <row r="8" spans="1:3" s="7" customFormat="1" ht="16.5" x14ac:dyDescent="0.3">
      <c r="A8" s="53"/>
      <c r="B8" s="8"/>
      <c r="C8" s="54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26'!C11</f>
        <v>Ending December 31, 2023</v>
      </c>
    </row>
    <row r="12" spans="1:3" ht="15.75" x14ac:dyDescent="0.3">
      <c r="A12" s="11">
        <v>3</v>
      </c>
      <c r="B12" s="12" t="s">
        <v>124</v>
      </c>
      <c r="C12" s="13" t="s">
        <v>5</v>
      </c>
    </row>
    <row r="13" spans="1:3" ht="15.75" x14ac:dyDescent="0.3">
      <c r="A13" s="11">
        <v>4</v>
      </c>
      <c r="B13" s="12" t="s">
        <v>125</v>
      </c>
      <c r="C13" s="13" t="s">
        <v>83</v>
      </c>
    </row>
    <row r="14" spans="1:3" ht="15.75" x14ac:dyDescent="0.3">
      <c r="A14" s="11">
        <v>5</v>
      </c>
      <c r="B14" s="12" t="s">
        <v>6</v>
      </c>
      <c r="C14" s="15" t="s">
        <v>84</v>
      </c>
    </row>
    <row r="15" spans="1:3" ht="15.75" x14ac:dyDescent="0.3">
      <c r="A15" s="11">
        <v>6</v>
      </c>
      <c r="B15" s="12" t="s">
        <v>126</v>
      </c>
      <c r="C15" s="13" t="s">
        <v>85</v>
      </c>
    </row>
    <row r="16" spans="1:3" ht="15.75" x14ac:dyDescent="0.3">
      <c r="A16" s="11">
        <v>7</v>
      </c>
      <c r="B16" s="12" t="s">
        <v>7</v>
      </c>
      <c r="C16" s="15" t="s">
        <v>86</v>
      </c>
    </row>
    <row r="17" spans="1:4" ht="15.75" x14ac:dyDescent="0.3">
      <c r="A17" s="11">
        <v>8</v>
      </c>
      <c r="B17" s="12" t="s">
        <v>8</v>
      </c>
      <c r="C17" s="15" t="s">
        <v>99</v>
      </c>
    </row>
    <row r="18" spans="1:4" ht="15.75" x14ac:dyDescent="0.3">
      <c r="A18" s="11">
        <v>9</v>
      </c>
      <c r="B18" s="12" t="s">
        <v>127</v>
      </c>
      <c r="C18" s="33">
        <f>81696738.99+3506740</f>
        <v>85203478.989999995</v>
      </c>
      <c r="D18" s="45">
        <v>86000000</v>
      </c>
    </row>
    <row r="19" spans="1:4" ht="15.75" x14ac:dyDescent="0.3">
      <c r="A19" s="11">
        <v>10</v>
      </c>
      <c r="B19" s="12" t="s">
        <v>12</v>
      </c>
      <c r="C19" s="16" t="s">
        <v>120</v>
      </c>
    </row>
    <row r="20" spans="1:4" ht="15.75" x14ac:dyDescent="0.3">
      <c r="A20" s="11">
        <v>11</v>
      </c>
      <c r="B20" s="12" t="s">
        <v>128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121</v>
      </c>
    </row>
    <row r="22" spans="1:4" x14ac:dyDescent="0.2">
      <c r="A22" s="11">
        <v>13</v>
      </c>
      <c r="B22" s="17" t="s">
        <v>56</v>
      </c>
      <c r="C22" s="19" t="s">
        <v>57</v>
      </c>
    </row>
    <row r="23" spans="1:4" x14ac:dyDescent="0.2">
      <c r="A23" s="11">
        <v>14</v>
      </c>
      <c r="B23" s="17" t="s">
        <v>58</v>
      </c>
      <c r="C23" s="16" t="s">
        <v>122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129</v>
      </c>
      <c r="C25" s="16" t="s">
        <v>72</v>
      </c>
    </row>
    <row r="26" spans="1:4" ht="15.75" x14ac:dyDescent="0.3">
      <c r="A26" s="11">
        <v>17</v>
      </c>
      <c r="B26" s="12" t="s">
        <v>14</v>
      </c>
      <c r="C26" s="16" t="s">
        <v>35</v>
      </c>
    </row>
    <row r="27" spans="1:4" ht="15.75" x14ac:dyDescent="0.3">
      <c r="A27" s="11">
        <v>18</v>
      </c>
      <c r="B27" s="12" t="s">
        <v>37</v>
      </c>
      <c r="C27" s="34">
        <v>14200579.859999999</v>
      </c>
    </row>
    <row r="28" spans="1:4" ht="15.75" x14ac:dyDescent="0.3">
      <c r="A28" s="11">
        <v>19</v>
      </c>
      <c r="B28" s="12" t="s">
        <v>132</v>
      </c>
      <c r="C28" s="34">
        <v>4933600.88</v>
      </c>
    </row>
    <row r="29" spans="1:4" ht="15.75" x14ac:dyDescent="0.3">
      <c r="A29" s="11">
        <v>20</v>
      </c>
      <c r="B29" s="12" t="s">
        <v>130</v>
      </c>
      <c r="C29" s="19" t="s">
        <v>20</v>
      </c>
    </row>
    <row r="30" spans="1:4" x14ac:dyDescent="0.2">
      <c r="A30" s="11">
        <v>21</v>
      </c>
      <c r="B30" s="20" t="s">
        <v>59</v>
      </c>
      <c r="C30" s="14" t="s">
        <v>123</v>
      </c>
    </row>
    <row r="31" spans="1:4" ht="15.75" x14ac:dyDescent="0.3">
      <c r="A31" s="11">
        <v>22</v>
      </c>
      <c r="B31" s="21" t="s">
        <v>60</v>
      </c>
      <c r="C31" s="33">
        <f>4733526.62+4733526.62+4733526.63</f>
        <v>14200579.870000001</v>
      </c>
    </row>
    <row r="32" spans="1:4" ht="15.75" x14ac:dyDescent="0.3">
      <c r="A32" s="11">
        <v>23</v>
      </c>
      <c r="B32" s="21" t="s">
        <v>61</v>
      </c>
      <c r="C32" s="33">
        <f>1449220.64+1343843.89+1292051.75+1202830.79</f>
        <v>5287947.07</v>
      </c>
    </row>
    <row r="33" spans="1:5" ht="15.75" x14ac:dyDescent="0.3">
      <c r="A33" s="11">
        <v>24</v>
      </c>
      <c r="B33" s="21" t="s">
        <v>62</v>
      </c>
      <c r="C33" s="15" t="s">
        <v>20</v>
      </c>
    </row>
    <row r="34" spans="1:5" ht="15.75" x14ac:dyDescent="0.3">
      <c r="A34" s="11">
        <v>25</v>
      </c>
      <c r="B34" s="21" t="s">
        <v>63</v>
      </c>
      <c r="C34" s="33">
        <f>81696738.99+3506740</f>
        <v>85203478.989999995</v>
      </c>
      <c r="E34" s="66"/>
    </row>
    <row r="35" spans="1:5" ht="28.5" x14ac:dyDescent="0.3">
      <c r="A35" s="11">
        <v>26</v>
      </c>
      <c r="B35" s="21" t="s">
        <v>133</v>
      </c>
      <c r="C35" s="33">
        <v>0</v>
      </c>
    </row>
    <row r="36" spans="1:5" ht="27.75" customHeight="1" x14ac:dyDescent="0.2">
      <c r="A36" s="11">
        <v>27</v>
      </c>
      <c r="B36" s="20" t="s">
        <v>134</v>
      </c>
      <c r="C36" s="33">
        <f>C18-C31</f>
        <v>71002899.11999999</v>
      </c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64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65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612726+26301</f>
        <v>639027</v>
      </c>
    </row>
    <row r="43" spans="1:5" x14ac:dyDescent="0.2">
      <c r="A43" s="11">
        <v>34</v>
      </c>
      <c r="B43" s="20" t="s">
        <v>131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34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55</v>
      </c>
      <c r="C48" s="37">
        <f>'TL 15'!C48</f>
        <v>45338</v>
      </c>
    </row>
    <row r="49" spans="1:3" ht="15.75" x14ac:dyDescent="0.3">
      <c r="A49" s="2"/>
      <c r="B49" s="25" t="str">
        <f>'TL 26'!B49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9"/>
  <sheetViews>
    <sheetView tabSelected="1" topLeftCell="A23" zoomScale="118" zoomScaleNormal="118" workbookViewId="0">
      <selection activeCell="C37" sqref="C37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18.7109375" style="7" customWidth="1"/>
    <col min="5" max="16384" width="9.140625" style="7"/>
  </cols>
  <sheetData>
    <row r="1" spans="1:4" x14ac:dyDescent="0.3">
      <c r="A1" s="46" t="s">
        <v>137</v>
      </c>
      <c r="B1" s="46"/>
      <c r="C1" s="46"/>
    </row>
    <row r="2" spans="1:4" x14ac:dyDescent="0.3">
      <c r="A2" s="46" t="s">
        <v>138</v>
      </c>
      <c r="B2" s="46"/>
      <c r="C2" s="46"/>
    </row>
    <row r="3" spans="1:4" x14ac:dyDescent="0.3">
      <c r="A3" s="46"/>
      <c r="B3" s="46"/>
      <c r="C3" s="46"/>
    </row>
    <row r="4" spans="1:4" x14ac:dyDescent="0.3">
      <c r="A4" s="70" t="s">
        <v>144</v>
      </c>
      <c r="B4" s="71"/>
      <c r="C4" s="72"/>
    </row>
    <row r="5" spans="1:4" x14ac:dyDescent="0.3">
      <c r="A5" s="47"/>
      <c r="B5" s="48"/>
      <c r="C5" s="49"/>
    </row>
    <row r="6" spans="1:4" x14ac:dyDescent="0.3">
      <c r="A6" s="50" t="s">
        <v>139</v>
      </c>
      <c r="B6" s="51" t="s">
        <v>141</v>
      </c>
      <c r="C6" s="52" t="s">
        <v>143</v>
      </c>
    </row>
    <row r="7" spans="1:4" x14ac:dyDescent="0.3">
      <c r="A7" s="50" t="s">
        <v>140</v>
      </c>
      <c r="B7" s="51" t="s">
        <v>142</v>
      </c>
      <c r="C7" s="52" t="s">
        <v>145</v>
      </c>
    </row>
    <row r="8" spans="1:4" x14ac:dyDescent="0.3">
      <c r="A8" s="53"/>
      <c r="B8" s="8"/>
      <c r="C8" s="54"/>
    </row>
    <row r="9" spans="1:4" x14ac:dyDescent="0.3">
      <c r="A9" s="9" t="s">
        <v>16</v>
      </c>
      <c r="B9" s="10" t="s">
        <v>0</v>
      </c>
      <c r="C9" s="31" t="s">
        <v>1</v>
      </c>
    </row>
    <row r="10" spans="1:4" x14ac:dyDescent="0.3">
      <c r="A10" s="11">
        <v>1</v>
      </c>
      <c r="B10" s="12" t="s">
        <v>2</v>
      </c>
      <c r="C10" s="13" t="s">
        <v>3</v>
      </c>
      <c r="D10" s="56">
        <v>20000000</v>
      </c>
    </row>
    <row r="11" spans="1:4" x14ac:dyDescent="0.3">
      <c r="A11" s="11">
        <v>2</v>
      </c>
      <c r="B11" s="12" t="s">
        <v>4</v>
      </c>
      <c r="C11" s="14" t="s">
        <v>146</v>
      </c>
    </row>
    <row r="12" spans="1:4" x14ac:dyDescent="0.3">
      <c r="A12" s="11">
        <v>3</v>
      </c>
      <c r="B12" s="12" t="s">
        <v>124</v>
      </c>
      <c r="C12" s="13" t="s">
        <v>5</v>
      </c>
    </row>
    <row r="13" spans="1:4" x14ac:dyDescent="0.3">
      <c r="A13" s="11">
        <v>4</v>
      </c>
      <c r="B13" s="12" t="s">
        <v>125</v>
      </c>
      <c r="C13" s="13" t="s">
        <v>53</v>
      </c>
    </row>
    <row r="14" spans="1:4" x14ac:dyDescent="0.3">
      <c r="A14" s="11">
        <v>5</v>
      </c>
      <c r="B14" s="12" t="s">
        <v>6</v>
      </c>
      <c r="C14" s="15" t="s">
        <v>51</v>
      </c>
    </row>
    <row r="15" spans="1:4" x14ac:dyDescent="0.3">
      <c r="A15" s="11">
        <v>6</v>
      </c>
      <c r="B15" s="12" t="s">
        <v>126</v>
      </c>
      <c r="C15" s="38" t="s">
        <v>38</v>
      </c>
    </row>
    <row r="16" spans="1:4" x14ac:dyDescent="0.3">
      <c r="A16" s="11">
        <v>7</v>
      </c>
      <c r="B16" s="12" t="s">
        <v>7</v>
      </c>
      <c r="C16" s="39" t="s">
        <v>52</v>
      </c>
    </row>
    <row r="17" spans="1:3" x14ac:dyDescent="0.3">
      <c r="A17" s="11">
        <v>8</v>
      </c>
      <c r="B17" s="12" t="s">
        <v>8</v>
      </c>
      <c r="C17" s="14" t="s">
        <v>54</v>
      </c>
    </row>
    <row r="18" spans="1:3" x14ac:dyDescent="0.3">
      <c r="A18" s="11">
        <v>9</v>
      </c>
      <c r="B18" s="12" t="s">
        <v>127</v>
      </c>
      <c r="C18" s="33">
        <f>'[1]50M-20M TL11'!$H$113</f>
        <v>19991807.600000001</v>
      </c>
    </row>
    <row r="19" spans="1:3" x14ac:dyDescent="0.3">
      <c r="A19" s="11">
        <v>10</v>
      </c>
      <c r="B19" s="12" t="s">
        <v>12</v>
      </c>
      <c r="C19" s="16" t="s">
        <v>69</v>
      </c>
    </row>
    <row r="20" spans="1:3" x14ac:dyDescent="0.3">
      <c r="A20" s="11">
        <v>11</v>
      </c>
      <c r="B20" s="12" t="s">
        <v>128</v>
      </c>
      <c r="C20" s="13" t="s">
        <v>9</v>
      </c>
    </row>
    <row r="21" spans="1:3" ht="28.5" x14ac:dyDescent="0.3">
      <c r="A21" s="11">
        <v>12</v>
      </c>
      <c r="B21" s="17" t="s">
        <v>10</v>
      </c>
      <c r="C21" s="18" t="s">
        <v>71</v>
      </c>
    </row>
    <row r="22" spans="1:3" x14ac:dyDescent="0.3">
      <c r="A22" s="11">
        <v>13</v>
      </c>
      <c r="B22" s="17" t="s">
        <v>56</v>
      </c>
      <c r="C22" s="19" t="s">
        <v>57</v>
      </c>
    </row>
    <row r="23" spans="1:3" x14ac:dyDescent="0.3">
      <c r="A23" s="11">
        <v>14</v>
      </c>
      <c r="B23" s="17" t="s">
        <v>58</v>
      </c>
      <c r="C23" s="16" t="s">
        <v>11</v>
      </c>
    </row>
    <row r="24" spans="1:3" ht="28.5" x14ac:dyDescent="0.3">
      <c r="A24" s="11">
        <v>15</v>
      </c>
      <c r="B24" s="17" t="s">
        <v>13</v>
      </c>
      <c r="C24" s="18" t="s">
        <v>17</v>
      </c>
    </row>
    <row r="25" spans="1:3" x14ac:dyDescent="0.3">
      <c r="A25" s="11">
        <v>16</v>
      </c>
      <c r="B25" s="12" t="s">
        <v>129</v>
      </c>
      <c r="C25" s="16" t="s">
        <v>72</v>
      </c>
    </row>
    <row r="26" spans="1:3" x14ac:dyDescent="0.3">
      <c r="A26" s="11">
        <v>17</v>
      </c>
      <c r="B26" s="12" t="s">
        <v>14</v>
      </c>
      <c r="C26" s="16" t="s">
        <v>35</v>
      </c>
    </row>
    <row r="27" spans="1:3" x14ac:dyDescent="0.3">
      <c r="A27" s="11">
        <v>18</v>
      </c>
      <c r="B27" s="12" t="s">
        <v>37</v>
      </c>
      <c r="C27" s="34">
        <f>'[1]50M-20M TL11'!$G$87</f>
        <v>2110088.36</v>
      </c>
    </row>
    <row r="28" spans="1:3" x14ac:dyDescent="0.3">
      <c r="A28" s="11">
        <v>19</v>
      </c>
      <c r="B28" s="12" t="s">
        <v>132</v>
      </c>
      <c r="C28" s="34">
        <v>311076.15999999997</v>
      </c>
    </row>
    <row r="29" spans="1:3" x14ac:dyDescent="0.3">
      <c r="A29" s="11">
        <v>20</v>
      </c>
      <c r="B29" s="12" t="s">
        <v>135</v>
      </c>
      <c r="C29" s="40" t="s">
        <v>20</v>
      </c>
    </row>
    <row r="30" spans="1:3" x14ac:dyDescent="0.3">
      <c r="A30" s="11">
        <v>21</v>
      </c>
      <c r="B30" s="20" t="s">
        <v>59</v>
      </c>
      <c r="C30" s="14" t="s">
        <v>70</v>
      </c>
    </row>
    <row r="31" spans="1:3" x14ac:dyDescent="0.3">
      <c r="A31" s="11">
        <v>22</v>
      </c>
      <c r="B31" s="21" t="s">
        <v>60</v>
      </c>
      <c r="C31" s="33">
        <f>14189064.57+527522.09+527522.09+527522.09</f>
        <v>15771630.84</v>
      </c>
    </row>
    <row r="32" spans="1:3" x14ac:dyDescent="0.3">
      <c r="A32" s="11">
        <v>23</v>
      </c>
      <c r="B32" s="21" t="s">
        <v>61</v>
      </c>
      <c r="C32" s="33">
        <f>4540778.73+80443.51+83102.8+73387.71</f>
        <v>4777712.75</v>
      </c>
    </row>
    <row r="33" spans="1:4" x14ac:dyDescent="0.3">
      <c r="A33" s="11">
        <v>24</v>
      </c>
      <c r="B33" s="21" t="s">
        <v>62</v>
      </c>
      <c r="C33" s="15" t="s">
        <v>20</v>
      </c>
    </row>
    <row r="34" spans="1:4" x14ac:dyDescent="0.3">
      <c r="A34" s="11">
        <v>25</v>
      </c>
      <c r="B34" s="21" t="s">
        <v>63</v>
      </c>
      <c r="C34" s="33">
        <f>'[1]50M-20M TL11'!$H$113</f>
        <v>19991807.600000001</v>
      </c>
    </row>
    <row r="35" spans="1:4" ht="28.5" x14ac:dyDescent="0.3">
      <c r="A35" s="11">
        <v>26</v>
      </c>
      <c r="B35" s="21" t="s">
        <v>133</v>
      </c>
      <c r="C35" s="33">
        <v>0</v>
      </c>
    </row>
    <row r="36" spans="1:4" ht="28.5" x14ac:dyDescent="0.3">
      <c r="A36" s="11">
        <v>27</v>
      </c>
      <c r="B36" s="20" t="s">
        <v>134</v>
      </c>
      <c r="C36" s="33">
        <f>C18-C31</f>
        <v>4220176.7600000016</v>
      </c>
      <c r="D36" s="65"/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64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65</v>
      </c>
      <c r="C41" s="13" t="s">
        <v>20</v>
      </c>
    </row>
    <row r="42" spans="1:4" x14ac:dyDescent="0.3">
      <c r="A42" s="11">
        <v>33</v>
      </c>
      <c r="B42" s="20" t="s">
        <v>24</v>
      </c>
      <c r="C42" s="34">
        <v>101960</v>
      </c>
    </row>
    <row r="43" spans="1:4" x14ac:dyDescent="0.3">
      <c r="A43" s="11">
        <v>34</v>
      </c>
      <c r="B43" s="20" t="s">
        <v>131</v>
      </c>
      <c r="C43" s="13" t="s">
        <v>20</v>
      </c>
    </row>
    <row r="44" spans="1:4" x14ac:dyDescent="0.3">
      <c r="A44" s="22"/>
      <c r="B44" s="23"/>
      <c r="C44" s="35"/>
    </row>
    <row r="45" spans="1:4" x14ac:dyDescent="0.3">
      <c r="A45" s="25"/>
      <c r="B45" s="26" t="s">
        <v>34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">
        <v>55</v>
      </c>
      <c r="C48" s="37">
        <v>45338</v>
      </c>
    </row>
    <row r="49" spans="1:3" x14ac:dyDescent="0.3">
      <c r="A49" s="25"/>
      <c r="B49" s="25" t="s">
        <v>110</v>
      </c>
      <c r="C49" s="36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9"/>
  <sheetViews>
    <sheetView topLeftCell="A28" zoomScale="118" zoomScaleNormal="118" workbookViewId="0">
      <selection activeCell="C37" sqref="C37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18.7109375" style="7" customWidth="1"/>
    <col min="5" max="16384" width="9.140625" style="7"/>
  </cols>
  <sheetData>
    <row r="1" spans="1:4" x14ac:dyDescent="0.3">
      <c r="A1" s="46" t="s">
        <v>137</v>
      </c>
      <c r="B1" s="46"/>
      <c r="C1" s="46"/>
    </row>
    <row r="2" spans="1:4" x14ac:dyDescent="0.3">
      <c r="A2" s="46" t="s">
        <v>138</v>
      </c>
      <c r="B2" s="46"/>
      <c r="C2" s="46"/>
    </row>
    <row r="3" spans="1:4" x14ac:dyDescent="0.3">
      <c r="A3" s="46"/>
      <c r="B3" s="46"/>
      <c r="C3" s="46"/>
    </row>
    <row r="4" spans="1:4" x14ac:dyDescent="0.3">
      <c r="A4" s="70" t="s">
        <v>144</v>
      </c>
      <c r="B4" s="71"/>
      <c r="C4" s="72"/>
    </row>
    <row r="5" spans="1:4" x14ac:dyDescent="0.3">
      <c r="A5" s="47"/>
      <c r="B5" s="48"/>
      <c r="C5" s="49"/>
    </row>
    <row r="6" spans="1:4" x14ac:dyDescent="0.3">
      <c r="A6" s="50" t="s">
        <v>139</v>
      </c>
      <c r="B6" s="51" t="s">
        <v>141</v>
      </c>
      <c r="C6" s="52" t="s">
        <v>143</v>
      </c>
    </row>
    <row r="7" spans="1:4" x14ac:dyDescent="0.3">
      <c r="A7" s="50" t="s">
        <v>140</v>
      </c>
      <c r="B7" s="51" t="s">
        <v>142</v>
      </c>
      <c r="C7" s="52" t="s">
        <v>145</v>
      </c>
    </row>
    <row r="8" spans="1:4" x14ac:dyDescent="0.3">
      <c r="A8" s="53"/>
      <c r="B8" s="8"/>
      <c r="C8" s="54"/>
    </row>
    <row r="9" spans="1:4" x14ac:dyDescent="0.3">
      <c r="A9" s="9" t="s">
        <v>16</v>
      </c>
      <c r="B9" s="10" t="s">
        <v>0</v>
      </c>
      <c r="C9" s="31" t="s">
        <v>1</v>
      </c>
    </row>
    <row r="10" spans="1:4" x14ac:dyDescent="0.3">
      <c r="A10" s="11">
        <v>1</v>
      </c>
      <c r="B10" s="12" t="s">
        <v>2</v>
      </c>
      <c r="C10" s="13" t="s">
        <v>3</v>
      </c>
      <c r="D10" s="56">
        <v>30000000</v>
      </c>
    </row>
    <row r="11" spans="1:4" x14ac:dyDescent="0.3">
      <c r="A11" s="11">
        <v>2</v>
      </c>
      <c r="B11" s="12" t="s">
        <v>4</v>
      </c>
      <c r="C11" s="14" t="str">
        <f>'TL 11'!C11</f>
        <v>Ending December 31, 2023</v>
      </c>
    </row>
    <row r="12" spans="1:4" x14ac:dyDescent="0.3">
      <c r="A12" s="11">
        <v>3</v>
      </c>
      <c r="B12" s="12" t="s">
        <v>124</v>
      </c>
      <c r="C12" s="13" t="s">
        <v>5</v>
      </c>
    </row>
    <row r="13" spans="1:4" x14ac:dyDescent="0.3">
      <c r="A13" s="11">
        <v>4</v>
      </c>
      <c r="B13" s="12" t="s">
        <v>125</v>
      </c>
      <c r="C13" s="13" t="s">
        <v>53</v>
      </c>
    </row>
    <row r="14" spans="1:4" x14ac:dyDescent="0.3">
      <c r="A14" s="11">
        <v>5</v>
      </c>
      <c r="B14" s="12" t="s">
        <v>6</v>
      </c>
      <c r="C14" s="15" t="s">
        <v>51</v>
      </c>
    </row>
    <row r="15" spans="1:4" x14ac:dyDescent="0.3">
      <c r="A15" s="11">
        <v>6</v>
      </c>
      <c r="B15" s="12" t="s">
        <v>126</v>
      </c>
      <c r="C15" s="38" t="s">
        <v>38</v>
      </c>
    </row>
    <row r="16" spans="1:4" x14ac:dyDescent="0.3">
      <c r="A16" s="11">
        <v>7</v>
      </c>
      <c r="B16" s="12" t="s">
        <v>7</v>
      </c>
      <c r="C16" s="39" t="s">
        <v>52</v>
      </c>
    </row>
    <row r="17" spans="1:4" x14ac:dyDescent="0.3">
      <c r="A17" s="11">
        <v>8</v>
      </c>
      <c r="B17" s="12" t="s">
        <v>8</v>
      </c>
      <c r="C17" s="14" t="s">
        <v>54</v>
      </c>
    </row>
    <row r="18" spans="1:4" x14ac:dyDescent="0.3">
      <c r="A18" s="11">
        <v>9</v>
      </c>
      <c r="B18" s="12" t="s">
        <v>127</v>
      </c>
      <c r="C18" s="33">
        <f>'[1]50M-30M TL12'!$J$67</f>
        <v>13019951.010000002</v>
      </c>
    </row>
    <row r="19" spans="1:4" x14ac:dyDescent="0.3">
      <c r="A19" s="11">
        <v>10</v>
      </c>
      <c r="B19" s="12" t="s">
        <v>12</v>
      </c>
      <c r="C19" s="16" t="s">
        <v>109</v>
      </c>
    </row>
    <row r="20" spans="1:4" x14ac:dyDescent="0.3">
      <c r="A20" s="11">
        <v>11</v>
      </c>
      <c r="B20" s="12" t="s">
        <v>128</v>
      </c>
      <c r="C20" s="13" t="s">
        <v>9</v>
      </c>
    </row>
    <row r="21" spans="1:4" ht="28.5" x14ac:dyDescent="0.3">
      <c r="A21" s="11">
        <v>12</v>
      </c>
      <c r="B21" s="17" t="s">
        <v>10</v>
      </c>
      <c r="C21" s="18" t="s">
        <v>76</v>
      </c>
    </row>
    <row r="22" spans="1:4" x14ac:dyDescent="0.3">
      <c r="A22" s="11">
        <v>13</v>
      </c>
      <c r="B22" s="17" t="s">
        <v>56</v>
      </c>
      <c r="C22" s="19" t="s">
        <v>57</v>
      </c>
    </row>
    <row r="23" spans="1:4" x14ac:dyDescent="0.3">
      <c r="A23" s="11">
        <v>14</v>
      </c>
      <c r="B23" s="17" t="s">
        <v>58</v>
      </c>
      <c r="C23" s="16" t="s">
        <v>11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129</v>
      </c>
      <c r="C25" s="16" t="s">
        <v>72</v>
      </c>
    </row>
    <row r="26" spans="1:4" x14ac:dyDescent="0.3">
      <c r="A26" s="11">
        <v>17</v>
      </c>
      <c r="B26" s="12" t="s">
        <v>14</v>
      </c>
      <c r="C26" s="16" t="s">
        <v>35</v>
      </c>
    </row>
    <row r="27" spans="1:4" x14ac:dyDescent="0.3">
      <c r="A27" s="11">
        <v>18</v>
      </c>
      <c r="B27" s="12" t="s">
        <v>37</v>
      </c>
      <c r="C27" s="34">
        <v>1370521.14</v>
      </c>
    </row>
    <row r="28" spans="1:4" x14ac:dyDescent="0.3">
      <c r="A28" s="11">
        <v>19</v>
      </c>
      <c r="B28" s="12" t="s">
        <v>132</v>
      </c>
      <c r="C28" s="34">
        <v>167380.04</v>
      </c>
      <c r="D28" s="56">
        <f>30000000-C31</f>
        <v>19035830.73</v>
      </c>
    </row>
    <row r="29" spans="1:4" x14ac:dyDescent="0.3">
      <c r="A29" s="11">
        <v>20</v>
      </c>
      <c r="B29" s="12" t="s">
        <v>130</v>
      </c>
      <c r="C29" s="19" t="s">
        <v>20</v>
      </c>
    </row>
    <row r="30" spans="1:4" x14ac:dyDescent="0.3">
      <c r="A30" s="11">
        <v>21</v>
      </c>
      <c r="B30" s="20" t="s">
        <v>59</v>
      </c>
      <c r="C30" s="14" t="s">
        <v>18</v>
      </c>
    </row>
    <row r="31" spans="1:4" x14ac:dyDescent="0.3">
      <c r="A31" s="11">
        <v>22</v>
      </c>
      <c r="B31" s="21" t="s">
        <v>60</v>
      </c>
      <c r="C31" s="33">
        <f>9936278.4+342630.3+342630.29+342630.28</f>
        <v>10964169.27</v>
      </c>
    </row>
    <row r="32" spans="1:4" x14ac:dyDescent="0.3">
      <c r="A32" s="11">
        <v>23</v>
      </c>
      <c r="B32" s="21" t="s">
        <v>61</v>
      </c>
      <c r="C32" s="33">
        <f>3097544.54+53987.26+31473.17+35969.6</f>
        <v>3218974.57</v>
      </c>
    </row>
    <row r="33" spans="1:4" x14ac:dyDescent="0.3">
      <c r="A33" s="11">
        <v>24</v>
      </c>
      <c r="B33" s="21" t="s">
        <v>62</v>
      </c>
      <c r="C33" s="15" t="s">
        <v>20</v>
      </c>
    </row>
    <row r="34" spans="1:4" x14ac:dyDescent="0.3">
      <c r="A34" s="11">
        <v>25</v>
      </c>
      <c r="B34" s="21" t="s">
        <v>63</v>
      </c>
      <c r="C34" s="33">
        <f>'[1]50M-30M TL12'!$J$67</f>
        <v>13019951.010000002</v>
      </c>
    </row>
    <row r="35" spans="1:4" ht="28.5" x14ac:dyDescent="0.3">
      <c r="A35" s="11">
        <v>26</v>
      </c>
      <c r="B35" s="21" t="s">
        <v>133</v>
      </c>
      <c r="C35" s="33">
        <v>0</v>
      </c>
      <c r="D35" s="65"/>
    </row>
    <row r="36" spans="1:4" ht="28.5" x14ac:dyDescent="0.3">
      <c r="A36" s="11">
        <v>27</v>
      </c>
      <c r="B36" s="20" t="s">
        <v>134</v>
      </c>
      <c r="C36" s="34">
        <f>C18-C31</f>
        <v>2055781.7400000021</v>
      </c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64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65</v>
      </c>
      <c r="C41" s="13" t="s">
        <v>20</v>
      </c>
    </row>
    <row r="42" spans="1:4" x14ac:dyDescent="0.3">
      <c r="A42" s="11">
        <v>33</v>
      </c>
      <c r="B42" s="20" t="s">
        <v>24</v>
      </c>
      <c r="C42" s="34">
        <v>66101</v>
      </c>
    </row>
    <row r="43" spans="1:4" x14ac:dyDescent="0.3">
      <c r="A43" s="11">
        <v>34</v>
      </c>
      <c r="B43" s="20" t="s">
        <v>131</v>
      </c>
      <c r="C43" s="13" t="s">
        <v>20</v>
      </c>
    </row>
    <row r="44" spans="1:4" x14ac:dyDescent="0.3">
      <c r="A44" s="22"/>
      <c r="B44" s="23"/>
      <c r="C44" s="35"/>
    </row>
    <row r="45" spans="1:4" x14ac:dyDescent="0.3">
      <c r="A45" s="25"/>
      <c r="B45" s="26" t="s">
        <v>34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11'!B48</f>
        <v>EVELYN G. ESPRA, MPA</v>
      </c>
      <c r="C48" s="37">
        <f>'TL 11'!C48</f>
        <v>45338</v>
      </c>
    </row>
    <row r="49" spans="1:3" x14ac:dyDescent="0.3">
      <c r="A49" s="25"/>
      <c r="B49" s="25" t="str">
        <f>'TL 11'!B49</f>
        <v>Provincial Treasurer</v>
      </c>
      <c r="C49" s="36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9"/>
  <sheetViews>
    <sheetView topLeftCell="A7" zoomScale="106" zoomScaleNormal="106" workbookViewId="0">
      <selection activeCell="C18" sqref="C18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30" customWidth="1"/>
    <col min="4" max="4" width="19.7109375" style="7" customWidth="1"/>
    <col min="5" max="16384" width="9.140625" style="7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x14ac:dyDescent="0.3">
      <c r="A4" s="70" t="s">
        <v>144</v>
      </c>
      <c r="B4" s="71"/>
      <c r="C4" s="72"/>
    </row>
    <row r="5" spans="1:3" x14ac:dyDescent="0.3">
      <c r="A5" s="47"/>
      <c r="B5" s="48"/>
      <c r="C5" s="49"/>
    </row>
    <row r="6" spans="1:3" x14ac:dyDescent="0.3">
      <c r="A6" s="50" t="s">
        <v>139</v>
      </c>
      <c r="B6" s="51" t="s">
        <v>141</v>
      </c>
      <c r="C6" s="52" t="s">
        <v>143</v>
      </c>
    </row>
    <row r="7" spans="1:3" x14ac:dyDescent="0.3">
      <c r="A7" s="50" t="s">
        <v>140</v>
      </c>
      <c r="B7" s="51" t="s">
        <v>142</v>
      </c>
      <c r="C7" s="52" t="s">
        <v>145</v>
      </c>
    </row>
    <row r="8" spans="1:3" x14ac:dyDescent="0.3">
      <c r="A8" s="53"/>
      <c r="B8" s="8"/>
      <c r="C8" s="54"/>
    </row>
    <row r="9" spans="1:3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12'!C11</f>
        <v>Ending December 31, 2023</v>
      </c>
    </row>
    <row r="12" spans="1:3" x14ac:dyDescent="0.3">
      <c r="A12" s="11">
        <v>3</v>
      </c>
      <c r="B12" s="12" t="s">
        <v>124</v>
      </c>
      <c r="C12" s="13" t="s">
        <v>5</v>
      </c>
    </row>
    <row r="13" spans="1:3" x14ac:dyDescent="0.3">
      <c r="A13" s="11">
        <v>4</v>
      </c>
      <c r="B13" s="12" t="s">
        <v>125</v>
      </c>
      <c r="C13" s="13" t="s">
        <v>29</v>
      </c>
    </row>
    <row r="14" spans="1:3" x14ac:dyDescent="0.3">
      <c r="A14" s="11">
        <v>5</v>
      </c>
      <c r="B14" s="12" t="s">
        <v>6</v>
      </c>
      <c r="C14" s="15" t="s">
        <v>26</v>
      </c>
    </row>
    <row r="15" spans="1:3" x14ac:dyDescent="0.3">
      <c r="A15" s="11">
        <v>6</v>
      </c>
      <c r="B15" s="12" t="s">
        <v>126</v>
      </c>
      <c r="C15" s="13" t="s">
        <v>27</v>
      </c>
    </row>
    <row r="16" spans="1:3" x14ac:dyDescent="0.3">
      <c r="A16" s="11">
        <v>7</v>
      </c>
      <c r="B16" s="12" t="s">
        <v>7</v>
      </c>
      <c r="C16" s="15" t="s">
        <v>28</v>
      </c>
    </row>
    <row r="17" spans="1:4" x14ac:dyDescent="0.3">
      <c r="A17" s="11">
        <v>8</v>
      </c>
      <c r="B17" s="12" t="s">
        <v>8</v>
      </c>
      <c r="C17" s="15" t="s">
        <v>40</v>
      </c>
    </row>
    <row r="18" spans="1:4" x14ac:dyDescent="0.3">
      <c r="A18" s="11">
        <v>9</v>
      </c>
      <c r="B18" s="12" t="s">
        <v>127</v>
      </c>
      <c r="C18" s="13" t="s">
        <v>73</v>
      </c>
      <c r="D18" s="56">
        <v>120000000</v>
      </c>
    </row>
    <row r="19" spans="1:4" x14ac:dyDescent="0.3">
      <c r="A19" s="11">
        <v>10</v>
      </c>
      <c r="B19" s="12" t="s">
        <v>12</v>
      </c>
      <c r="C19" s="16" t="s">
        <v>41</v>
      </c>
    </row>
    <row r="20" spans="1:4" x14ac:dyDescent="0.3">
      <c r="A20" s="11">
        <v>11</v>
      </c>
      <c r="B20" s="12" t="s">
        <v>128</v>
      </c>
      <c r="C20" s="13" t="s">
        <v>9</v>
      </c>
    </row>
    <row r="21" spans="1:4" x14ac:dyDescent="0.3">
      <c r="A21" s="11">
        <v>12</v>
      </c>
      <c r="B21" s="17" t="s">
        <v>10</v>
      </c>
      <c r="C21" s="18" t="s">
        <v>31</v>
      </c>
    </row>
    <row r="22" spans="1:4" x14ac:dyDescent="0.3">
      <c r="A22" s="11">
        <v>13</v>
      </c>
      <c r="B22" s="17" t="s">
        <v>56</v>
      </c>
      <c r="C22" s="19" t="s">
        <v>57</v>
      </c>
    </row>
    <row r="23" spans="1:4" x14ac:dyDescent="0.3">
      <c r="A23" s="11">
        <v>14</v>
      </c>
      <c r="B23" s="17" t="s">
        <v>58</v>
      </c>
      <c r="C23" s="16" t="s">
        <v>11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129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35</v>
      </c>
    </row>
    <row r="27" spans="1:4" x14ac:dyDescent="0.3">
      <c r="A27" s="11">
        <v>18</v>
      </c>
      <c r="B27" s="12" t="s">
        <v>37</v>
      </c>
      <c r="C27" s="34">
        <v>12545001.369999999</v>
      </c>
    </row>
    <row r="28" spans="1:4" x14ac:dyDescent="0.3">
      <c r="A28" s="11">
        <v>19</v>
      </c>
      <c r="B28" s="12" t="s">
        <v>132</v>
      </c>
      <c r="C28" s="34">
        <v>2165937.5</v>
      </c>
    </row>
    <row r="29" spans="1:4" x14ac:dyDescent="0.3">
      <c r="A29" s="11">
        <v>20</v>
      </c>
      <c r="B29" s="12" t="s">
        <v>130</v>
      </c>
      <c r="C29" s="55" t="s">
        <v>20</v>
      </c>
      <c r="D29" s="32"/>
    </row>
    <row r="30" spans="1:4" x14ac:dyDescent="0.3">
      <c r="A30" s="11">
        <v>21</v>
      </c>
      <c r="B30" s="20" t="s">
        <v>59</v>
      </c>
      <c r="C30" s="14" t="s">
        <v>82</v>
      </c>
      <c r="D30" s="32"/>
    </row>
    <row r="31" spans="1:4" x14ac:dyDescent="0.3">
      <c r="A31" s="11">
        <v>22</v>
      </c>
      <c r="B31" s="21" t="s">
        <v>60</v>
      </c>
      <c r="C31" s="33">
        <f>56237884.94+3136250.35+3136250.35+3136250.4</f>
        <v>65646636.039999999</v>
      </c>
      <c r="D31" s="32"/>
    </row>
    <row r="32" spans="1:4" x14ac:dyDescent="0.3">
      <c r="A32" s="11">
        <v>23</v>
      </c>
      <c r="B32" s="21" t="s">
        <v>61</v>
      </c>
      <c r="C32" s="33">
        <v>543473.54</v>
      </c>
      <c r="D32" s="32"/>
    </row>
    <row r="33" spans="1:4" x14ac:dyDescent="0.3">
      <c r="A33" s="11">
        <v>24</v>
      </c>
      <c r="B33" s="21" t="s">
        <v>62</v>
      </c>
      <c r="C33" s="15" t="s">
        <v>20</v>
      </c>
      <c r="D33" s="32"/>
    </row>
    <row r="34" spans="1:4" x14ac:dyDescent="0.3">
      <c r="A34" s="11">
        <v>25</v>
      </c>
      <c r="B34" s="21" t="s">
        <v>63</v>
      </c>
      <c r="C34" s="33">
        <v>97009139.689999998</v>
      </c>
    </row>
    <row r="35" spans="1:4" ht="28.5" x14ac:dyDescent="0.3">
      <c r="A35" s="11">
        <v>26</v>
      </c>
      <c r="B35" s="21" t="s">
        <v>133</v>
      </c>
      <c r="C35" s="33">
        <f>D18-C34</f>
        <v>22990860.310000002</v>
      </c>
    </row>
    <row r="36" spans="1:4" ht="28.5" x14ac:dyDescent="0.3">
      <c r="A36" s="11">
        <v>27</v>
      </c>
      <c r="B36" s="20" t="s">
        <v>134</v>
      </c>
      <c r="C36" s="33">
        <f>D18-C31</f>
        <v>54353363.960000001</v>
      </c>
      <c r="D36" s="68">
        <f>C34-C31</f>
        <v>31362503.649999999</v>
      </c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64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65</v>
      </c>
      <c r="C41" s="13" t="s">
        <v>20</v>
      </c>
    </row>
    <row r="42" spans="1:4" x14ac:dyDescent="0.3">
      <c r="A42" s="11">
        <v>33</v>
      </c>
      <c r="B42" s="20" t="s">
        <v>24</v>
      </c>
      <c r="C42" s="34">
        <v>529242.5</v>
      </c>
    </row>
    <row r="43" spans="1:4" x14ac:dyDescent="0.3">
      <c r="A43" s="11">
        <v>34</v>
      </c>
      <c r="B43" s="20" t="s">
        <v>131</v>
      </c>
      <c r="C43" s="13" t="s">
        <v>20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34</v>
      </c>
      <c r="C45" s="27" t="s">
        <v>25</v>
      </c>
    </row>
    <row r="46" spans="1:4" x14ac:dyDescent="0.3">
      <c r="A46" s="25"/>
      <c r="B46" s="26"/>
      <c r="C46" s="27"/>
    </row>
    <row r="47" spans="1:4" x14ac:dyDescent="0.3">
      <c r="A47" s="25"/>
      <c r="B47" s="26"/>
      <c r="C47" s="27"/>
    </row>
    <row r="48" spans="1:4" x14ac:dyDescent="0.3">
      <c r="A48" s="25"/>
      <c r="B48" s="28" t="str">
        <f>'TL 12'!B48</f>
        <v>EVELYN G. ESPRA, MPA</v>
      </c>
      <c r="C48" s="37">
        <f>'TL 12'!C48</f>
        <v>45338</v>
      </c>
    </row>
    <row r="49" spans="1:3" x14ac:dyDescent="0.3">
      <c r="A49" s="25"/>
      <c r="B49" s="25" t="str">
        <f>'TL 12'!B49</f>
        <v>Provincial Treasurer</v>
      </c>
      <c r="C49" s="27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topLeftCell="A25" zoomScale="130" zoomScaleNormal="130" workbookViewId="0">
      <selection activeCell="C37" sqref="C37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20.5703125" style="7" customWidth="1"/>
    <col min="5" max="16384" width="9.140625" style="7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x14ac:dyDescent="0.3">
      <c r="A4" s="70" t="s">
        <v>144</v>
      </c>
      <c r="B4" s="71"/>
      <c r="C4" s="72"/>
    </row>
    <row r="5" spans="1:3" x14ac:dyDescent="0.3">
      <c r="A5" s="47"/>
      <c r="B5" s="48"/>
      <c r="C5" s="49"/>
    </row>
    <row r="6" spans="1:3" x14ac:dyDescent="0.3">
      <c r="A6" s="50" t="s">
        <v>139</v>
      </c>
      <c r="B6" s="51" t="s">
        <v>141</v>
      </c>
      <c r="C6" s="52" t="s">
        <v>143</v>
      </c>
    </row>
    <row r="7" spans="1:3" x14ac:dyDescent="0.3">
      <c r="A7" s="50" t="s">
        <v>140</v>
      </c>
      <c r="B7" s="51" t="s">
        <v>142</v>
      </c>
      <c r="C7" s="52" t="s">
        <v>145</v>
      </c>
    </row>
    <row r="8" spans="1:3" x14ac:dyDescent="0.3">
      <c r="A8" s="53"/>
      <c r="B8" s="8"/>
      <c r="C8" s="54"/>
    </row>
    <row r="9" spans="1:3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13'!C11</f>
        <v>Ending December 31, 2023</v>
      </c>
    </row>
    <row r="12" spans="1:3" x14ac:dyDescent="0.3">
      <c r="A12" s="11">
        <v>3</v>
      </c>
      <c r="B12" s="12" t="s">
        <v>124</v>
      </c>
      <c r="C12" s="13" t="s">
        <v>5</v>
      </c>
    </row>
    <row r="13" spans="1:3" x14ac:dyDescent="0.3">
      <c r="A13" s="11">
        <v>4</v>
      </c>
      <c r="B13" s="12" t="s">
        <v>125</v>
      </c>
      <c r="C13" s="13" t="s">
        <v>29</v>
      </c>
    </row>
    <row r="14" spans="1:3" x14ac:dyDescent="0.3">
      <c r="A14" s="11">
        <v>5</v>
      </c>
      <c r="B14" s="12" t="s">
        <v>6</v>
      </c>
      <c r="C14" s="15" t="s">
        <v>26</v>
      </c>
    </row>
    <row r="15" spans="1:3" x14ac:dyDescent="0.3">
      <c r="A15" s="11">
        <v>6</v>
      </c>
      <c r="B15" s="12" t="s">
        <v>126</v>
      </c>
      <c r="C15" s="13" t="s">
        <v>27</v>
      </c>
    </row>
    <row r="16" spans="1:3" x14ac:dyDescent="0.3">
      <c r="A16" s="11">
        <v>7</v>
      </c>
      <c r="B16" s="12" t="s">
        <v>7</v>
      </c>
      <c r="C16" s="15" t="s">
        <v>28</v>
      </c>
    </row>
    <row r="17" spans="1:4" x14ac:dyDescent="0.3">
      <c r="A17" s="11">
        <v>8</v>
      </c>
      <c r="B17" s="12" t="s">
        <v>8</v>
      </c>
      <c r="C17" s="15" t="s">
        <v>40</v>
      </c>
    </row>
    <row r="18" spans="1:4" x14ac:dyDescent="0.3">
      <c r="A18" s="11">
        <v>9</v>
      </c>
      <c r="B18" s="12" t="s">
        <v>127</v>
      </c>
      <c r="C18" s="33">
        <f>'[1]300M-50M TL 14'!$I$67</f>
        <v>41763939.409999996</v>
      </c>
      <c r="D18" s="57">
        <v>50000000</v>
      </c>
    </row>
    <row r="19" spans="1:4" x14ac:dyDescent="0.3">
      <c r="A19" s="11">
        <v>10</v>
      </c>
      <c r="B19" s="12" t="s">
        <v>12</v>
      </c>
      <c r="C19" s="16" t="s">
        <v>41</v>
      </c>
    </row>
    <row r="20" spans="1:4" x14ac:dyDescent="0.3">
      <c r="A20" s="11">
        <v>11</v>
      </c>
      <c r="B20" s="12" t="s">
        <v>128</v>
      </c>
      <c r="C20" s="13" t="s">
        <v>9</v>
      </c>
    </row>
    <row r="21" spans="1:4" ht="27" x14ac:dyDescent="0.3">
      <c r="A21" s="11">
        <v>12</v>
      </c>
      <c r="B21" s="17" t="s">
        <v>10</v>
      </c>
      <c r="C21" s="19" t="s">
        <v>66</v>
      </c>
    </row>
    <row r="22" spans="1:4" x14ac:dyDescent="0.3">
      <c r="A22" s="11">
        <v>13</v>
      </c>
      <c r="B22" s="17" t="s">
        <v>56</v>
      </c>
      <c r="C22" s="19" t="s">
        <v>57</v>
      </c>
    </row>
    <row r="23" spans="1:4" x14ac:dyDescent="0.3">
      <c r="A23" s="11">
        <v>14</v>
      </c>
      <c r="B23" s="17" t="s">
        <v>58</v>
      </c>
      <c r="C23" s="16" t="s">
        <v>11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129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35</v>
      </c>
    </row>
    <row r="27" spans="1:4" x14ac:dyDescent="0.3">
      <c r="A27" s="11">
        <v>18</v>
      </c>
      <c r="B27" s="12" t="s">
        <v>37</v>
      </c>
      <c r="C27" s="34">
        <v>5220492.43</v>
      </c>
    </row>
    <row r="28" spans="1:4" x14ac:dyDescent="0.3">
      <c r="A28" s="11">
        <v>19</v>
      </c>
      <c r="B28" s="12" t="s">
        <v>132</v>
      </c>
      <c r="C28" s="34">
        <v>901335.9</v>
      </c>
    </row>
    <row r="29" spans="1:4" x14ac:dyDescent="0.3">
      <c r="A29" s="11">
        <v>20</v>
      </c>
      <c r="B29" s="12" t="s">
        <v>130</v>
      </c>
      <c r="C29" s="19" t="s">
        <v>20</v>
      </c>
    </row>
    <row r="30" spans="1:4" x14ac:dyDescent="0.3">
      <c r="A30" s="11">
        <v>21</v>
      </c>
      <c r="B30" s="20" t="s">
        <v>59</v>
      </c>
      <c r="C30" s="15" t="s">
        <v>30</v>
      </c>
    </row>
    <row r="31" spans="1:4" x14ac:dyDescent="0.3">
      <c r="A31" s="11">
        <v>22</v>
      </c>
      <c r="B31" s="21" t="s">
        <v>60</v>
      </c>
      <c r="C31" s="33">
        <f>27407585.27+1305123.1</f>
        <v>28712708.370000001</v>
      </c>
    </row>
    <row r="32" spans="1:4" x14ac:dyDescent="0.3">
      <c r="A32" s="11">
        <v>23</v>
      </c>
      <c r="B32" s="21" t="s">
        <v>61</v>
      </c>
      <c r="C32" s="33">
        <f>9702094.82+230094.99+240135.5+226161.75</f>
        <v>10398487.060000001</v>
      </c>
    </row>
    <row r="33" spans="1:4" x14ac:dyDescent="0.3">
      <c r="A33" s="11">
        <v>24</v>
      </c>
      <c r="B33" s="21" t="s">
        <v>62</v>
      </c>
      <c r="C33" s="15" t="s">
        <v>20</v>
      </c>
    </row>
    <row r="34" spans="1:4" x14ac:dyDescent="0.3">
      <c r="A34" s="11">
        <v>25</v>
      </c>
      <c r="B34" s="21" t="s">
        <v>63</v>
      </c>
      <c r="C34" s="33">
        <f>'[1]300M-50M TL 14'!$I$67</f>
        <v>41763939.409999996</v>
      </c>
    </row>
    <row r="35" spans="1:4" ht="28.5" x14ac:dyDescent="0.3">
      <c r="A35" s="11">
        <v>26</v>
      </c>
      <c r="B35" s="21" t="s">
        <v>133</v>
      </c>
      <c r="C35" s="33">
        <v>0</v>
      </c>
    </row>
    <row r="36" spans="1:4" ht="28.5" x14ac:dyDescent="0.3">
      <c r="A36" s="11">
        <v>27</v>
      </c>
      <c r="B36" s="20" t="s">
        <v>134</v>
      </c>
      <c r="C36" s="44">
        <f>C18-C31</f>
        <v>13051231.039999995</v>
      </c>
      <c r="D36" s="65"/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64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65</v>
      </c>
      <c r="C41" s="13" t="s">
        <v>20</v>
      </c>
    </row>
    <row r="42" spans="1:4" x14ac:dyDescent="0.3">
      <c r="A42" s="11">
        <v>33</v>
      </c>
      <c r="B42" s="20" t="s">
        <v>24</v>
      </c>
      <c r="C42" s="34">
        <v>208821</v>
      </c>
    </row>
    <row r="43" spans="1:4" x14ac:dyDescent="0.3">
      <c r="A43" s="11">
        <v>34</v>
      </c>
      <c r="B43" s="20" t="s">
        <v>131</v>
      </c>
      <c r="C43" s="13" t="s">
        <v>20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34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13'!B48</f>
        <v>EVELYN G. ESPRA, MPA</v>
      </c>
      <c r="C48" s="37">
        <f>'TL 13'!C48</f>
        <v>45338</v>
      </c>
    </row>
    <row r="49" spans="1:3" x14ac:dyDescent="0.3">
      <c r="A49" s="25"/>
      <c r="B49" s="25" t="str">
        <f>'TL 13'!B49</f>
        <v>Provincial Treasurer</v>
      </c>
      <c r="C49" s="36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topLeftCell="A27" zoomScale="118" zoomScaleNormal="118" workbookViewId="0">
      <selection activeCell="C37" sqref="C37"/>
    </sheetView>
  </sheetViews>
  <sheetFormatPr defaultRowHeight="16.5" x14ac:dyDescent="0.3"/>
  <cols>
    <col min="1" max="1" width="5.7109375" style="29" customWidth="1"/>
    <col min="2" max="2" width="45.140625" style="7" customWidth="1"/>
    <col min="3" max="3" width="46.140625" style="7" customWidth="1"/>
    <col min="4" max="4" width="23" style="7" customWidth="1"/>
    <col min="5" max="5" width="13.28515625" style="7" customWidth="1"/>
    <col min="6" max="16384" width="9.140625" style="7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x14ac:dyDescent="0.3">
      <c r="A4" s="70" t="s">
        <v>144</v>
      </c>
      <c r="B4" s="71"/>
      <c r="C4" s="72"/>
    </row>
    <row r="5" spans="1:3" x14ac:dyDescent="0.3">
      <c r="A5" s="47"/>
      <c r="B5" s="48"/>
      <c r="C5" s="49"/>
    </row>
    <row r="6" spans="1:3" x14ac:dyDescent="0.3">
      <c r="A6" s="50" t="s">
        <v>139</v>
      </c>
      <c r="B6" s="51" t="s">
        <v>141</v>
      </c>
      <c r="C6" s="52" t="s">
        <v>143</v>
      </c>
    </row>
    <row r="7" spans="1:3" x14ac:dyDescent="0.3">
      <c r="A7" s="50" t="s">
        <v>140</v>
      </c>
      <c r="B7" s="51" t="s">
        <v>142</v>
      </c>
      <c r="C7" s="52" t="s">
        <v>145</v>
      </c>
    </row>
    <row r="8" spans="1:3" x14ac:dyDescent="0.3">
      <c r="A8" s="53"/>
      <c r="B8" s="8"/>
      <c r="C8" s="54"/>
    </row>
    <row r="9" spans="1:3" ht="25.5" customHeight="1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14'!C11</f>
        <v>Ending December 31, 2023</v>
      </c>
    </row>
    <row r="12" spans="1:3" x14ac:dyDescent="0.3">
      <c r="A12" s="11">
        <v>3</v>
      </c>
      <c r="B12" s="12" t="s">
        <v>124</v>
      </c>
      <c r="C12" s="13" t="s">
        <v>5</v>
      </c>
    </row>
    <row r="13" spans="1:3" x14ac:dyDescent="0.3">
      <c r="A13" s="11">
        <v>4</v>
      </c>
      <c r="B13" s="12" t="s">
        <v>125</v>
      </c>
      <c r="C13" s="13" t="s">
        <v>29</v>
      </c>
    </row>
    <row r="14" spans="1:3" x14ac:dyDescent="0.3">
      <c r="A14" s="11">
        <v>5</v>
      </c>
      <c r="B14" s="12" t="s">
        <v>6</v>
      </c>
      <c r="C14" s="15" t="s">
        <v>26</v>
      </c>
    </row>
    <row r="15" spans="1:3" x14ac:dyDescent="0.3">
      <c r="A15" s="11">
        <v>6</v>
      </c>
      <c r="B15" s="12" t="s">
        <v>126</v>
      </c>
      <c r="C15" s="13" t="s">
        <v>27</v>
      </c>
    </row>
    <row r="16" spans="1:3" x14ac:dyDescent="0.3">
      <c r="A16" s="11">
        <v>7</v>
      </c>
      <c r="B16" s="12" t="s">
        <v>7</v>
      </c>
      <c r="C16" s="15" t="s">
        <v>28</v>
      </c>
    </row>
    <row r="17" spans="1:4" x14ac:dyDescent="0.3">
      <c r="A17" s="11">
        <v>8</v>
      </c>
      <c r="B17" s="12" t="s">
        <v>8</v>
      </c>
      <c r="C17" s="15" t="s">
        <v>40</v>
      </c>
    </row>
    <row r="18" spans="1:4" x14ac:dyDescent="0.3">
      <c r="A18" s="11">
        <v>9</v>
      </c>
      <c r="B18" s="12" t="s">
        <v>127</v>
      </c>
      <c r="C18" s="33">
        <v>129992338.04000001</v>
      </c>
      <c r="D18" s="56">
        <v>130000000</v>
      </c>
    </row>
    <row r="19" spans="1:4" x14ac:dyDescent="0.3">
      <c r="A19" s="11">
        <v>10</v>
      </c>
      <c r="B19" s="12" t="s">
        <v>12</v>
      </c>
      <c r="C19" s="16" t="s">
        <v>36</v>
      </c>
    </row>
    <row r="20" spans="1:4" x14ac:dyDescent="0.3">
      <c r="A20" s="11">
        <v>11</v>
      </c>
      <c r="B20" s="12" t="s">
        <v>128</v>
      </c>
      <c r="C20" s="13" t="s">
        <v>9</v>
      </c>
    </row>
    <row r="21" spans="1:4" ht="42.75" x14ac:dyDescent="0.3">
      <c r="A21" s="11">
        <v>12</v>
      </c>
      <c r="B21" s="17" t="s">
        <v>10</v>
      </c>
      <c r="C21" s="42" t="s">
        <v>39</v>
      </c>
    </row>
    <row r="22" spans="1:4" x14ac:dyDescent="0.3">
      <c r="A22" s="11">
        <v>13</v>
      </c>
      <c r="B22" s="17" t="s">
        <v>56</v>
      </c>
      <c r="C22" s="19" t="s">
        <v>57</v>
      </c>
    </row>
    <row r="23" spans="1:4" x14ac:dyDescent="0.3">
      <c r="A23" s="11">
        <v>14</v>
      </c>
      <c r="B23" s="17" t="s">
        <v>58</v>
      </c>
      <c r="C23" s="16" t="s">
        <v>32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129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35</v>
      </c>
    </row>
    <row r="27" spans="1:4" x14ac:dyDescent="0.3">
      <c r="A27" s="11">
        <v>18</v>
      </c>
      <c r="B27" s="12" t="s">
        <v>37</v>
      </c>
      <c r="C27" s="34">
        <v>10665926.73</v>
      </c>
    </row>
    <row r="28" spans="1:4" x14ac:dyDescent="0.3">
      <c r="A28" s="11">
        <v>19</v>
      </c>
      <c r="B28" s="12" t="s">
        <v>132</v>
      </c>
      <c r="C28" s="34">
        <v>5258210.53</v>
      </c>
    </row>
    <row r="29" spans="1:4" x14ac:dyDescent="0.3">
      <c r="A29" s="11">
        <v>20</v>
      </c>
      <c r="B29" s="12" t="s">
        <v>130</v>
      </c>
      <c r="C29" s="19" t="s">
        <v>20</v>
      </c>
    </row>
    <row r="30" spans="1:4" x14ac:dyDescent="0.3">
      <c r="A30" s="11">
        <v>21</v>
      </c>
      <c r="B30" s="20" t="s">
        <v>59</v>
      </c>
      <c r="C30" s="15" t="s">
        <v>67</v>
      </c>
    </row>
    <row r="31" spans="1:4" ht="24" customHeight="1" x14ac:dyDescent="0.3">
      <c r="A31" s="11">
        <v>22</v>
      </c>
      <c r="B31" s="21" t="s">
        <v>60</v>
      </c>
      <c r="C31" s="33">
        <f>33998997.45+2666481.68+2666481.68+2666481.68</f>
        <v>41998442.490000002</v>
      </c>
    </row>
    <row r="32" spans="1:4" x14ac:dyDescent="0.3">
      <c r="A32" s="11">
        <v>23</v>
      </c>
      <c r="B32" s="21" t="s">
        <v>61</v>
      </c>
      <c r="C32" s="33">
        <f>17059921.58+1301827.47+1430969.22+1393934.35</f>
        <v>21186652.619999997</v>
      </c>
    </row>
    <row r="33" spans="1:4" x14ac:dyDescent="0.3">
      <c r="A33" s="11">
        <v>24</v>
      </c>
      <c r="B33" s="21" t="s">
        <v>62</v>
      </c>
      <c r="C33" s="15" t="s">
        <v>20</v>
      </c>
    </row>
    <row r="34" spans="1:4" x14ac:dyDescent="0.3">
      <c r="A34" s="11">
        <v>25</v>
      </c>
      <c r="B34" s="21" t="s">
        <v>63</v>
      </c>
      <c r="C34" s="33">
        <v>129992338.04000001</v>
      </c>
    </row>
    <row r="35" spans="1:4" ht="28.5" x14ac:dyDescent="0.3">
      <c r="A35" s="11">
        <v>26</v>
      </c>
      <c r="B35" s="21" t="s">
        <v>133</v>
      </c>
      <c r="C35" s="33">
        <v>0</v>
      </c>
    </row>
    <row r="36" spans="1:4" ht="28.5" x14ac:dyDescent="0.3">
      <c r="A36" s="11">
        <v>27</v>
      </c>
      <c r="B36" s="20" t="s">
        <v>134</v>
      </c>
      <c r="C36" s="33">
        <f>C18-C31</f>
        <v>87993895.550000012</v>
      </c>
      <c r="D36" s="65"/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64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65</v>
      </c>
      <c r="C41" s="13" t="s">
        <v>20</v>
      </c>
    </row>
    <row r="42" spans="1:4" ht="28.5" x14ac:dyDescent="0.3">
      <c r="A42" s="11">
        <v>33</v>
      </c>
      <c r="B42" s="20" t="s">
        <v>24</v>
      </c>
      <c r="C42" s="34">
        <v>914947</v>
      </c>
    </row>
    <row r="43" spans="1:4" x14ac:dyDescent="0.3">
      <c r="A43" s="11">
        <v>34</v>
      </c>
      <c r="B43" s="20" t="s">
        <v>131</v>
      </c>
      <c r="C43" s="13" t="s">
        <v>20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34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14'!B48</f>
        <v>EVELYN G. ESPRA, MPA</v>
      </c>
      <c r="C48" s="37">
        <f>'TL 14'!C48</f>
        <v>45338</v>
      </c>
    </row>
    <row r="49" spans="1:3" x14ac:dyDescent="0.3">
      <c r="A49" s="25"/>
      <c r="B49" s="25" t="str">
        <f>'TL 14'!B49</f>
        <v>Provincial Treasurer</v>
      </c>
      <c r="C49" s="36"/>
    </row>
  </sheetData>
  <mergeCells count="1">
    <mergeCell ref="A4:C4"/>
  </mergeCells>
  <pageMargins left="0.2" right="0.2" top="0.5" bottom="0.25" header="0.3" footer="0.3"/>
  <pageSetup paperSize="14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9"/>
  <sheetViews>
    <sheetView topLeftCell="A25" zoomScale="106" zoomScaleNormal="106" workbookViewId="0">
      <selection activeCell="C35" sqref="C35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18.140625" style="7" customWidth="1"/>
    <col min="5" max="16384" width="9.140625" style="7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x14ac:dyDescent="0.3">
      <c r="A4" s="70" t="s">
        <v>144</v>
      </c>
      <c r="B4" s="71"/>
      <c r="C4" s="72"/>
    </row>
    <row r="5" spans="1:3" x14ac:dyDescent="0.3">
      <c r="A5" s="47"/>
      <c r="B5" s="48"/>
      <c r="C5" s="49"/>
    </row>
    <row r="6" spans="1:3" x14ac:dyDescent="0.3">
      <c r="A6" s="50" t="s">
        <v>139</v>
      </c>
      <c r="B6" s="51" t="s">
        <v>141</v>
      </c>
      <c r="C6" s="52" t="s">
        <v>143</v>
      </c>
    </row>
    <row r="7" spans="1:3" x14ac:dyDescent="0.3">
      <c r="A7" s="50" t="s">
        <v>140</v>
      </c>
      <c r="B7" s="51" t="s">
        <v>142</v>
      </c>
      <c r="C7" s="52" t="s">
        <v>145</v>
      </c>
    </row>
    <row r="8" spans="1:3" x14ac:dyDescent="0.3">
      <c r="A8" s="53"/>
      <c r="B8" s="8"/>
      <c r="C8" s="54"/>
    </row>
    <row r="9" spans="1:3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15'!C11</f>
        <v>Ending December 31, 2023</v>
      </c>
    </row>
    <row r="12" spans="1:3" x14ac:dyDescent="0.3">
      <c r="A12" s="11">
        <v>3</v>
      </c>
      <c r="B12" s="12" t="s">
        <v>124</v>
      </c>
      <c r="C12" s="13" t="s">
        <v>5</v>
      </c>
    </row>
    <row r="13" spans="1:3" x14ac:dyDescent="0.3">
      <c r="A13" s="11">
        <v>4</v>
      </c>
      <c r="B13" s="12" t="s">
        <v>125</v>
      </c>
      <c r="C13" s="13" t="s">
        <v>44</v>
      </c>
    </row>
    <row r="14" spans="1:3" x14ac:dyDescent="0.3">
      <c r="A14" s="11">
        <v>5</v>
      </c>
      <c r="B14" s="12" t="s">
        <v>6</v>
      </c>
      <c r="C14" s="15" t="s">
        <v>45</v>
      </c>
    </row>
    <row r="15" spans="1:3" x14ac:dyDescent="0.3">
      <c r="A15" s="11">
        <v>6</v>
      </c>
      <c r="B15" s="12" t="s">
        <v>126</v>
      </c>
      <c r="C15" s="13" t="s">
        <v>42</v>
      </c>
    </row>
    <row r="16" spans="1:3" x14ac:dyDescent="0.3">
      <c r="A16" s="11">
        <v>7</v>
      </c>
      <c r="B16" s="12" t="s">
        <v>7</v>
      </c>
      <c r="C16" s="15" t="s">
        <v>43</v>
      </c>
    </row>
    <row r="17" spans="1:4" x14ac:dyDescent="0.3">
      <c r="A17" s="11">
        <v>8</v>
      </c>
      <c r="B17" s="12" t="s">
        <v>8</v>
      </c>
      <c r="C17" s="15" t="s">
        <v>46</v>
      </c>
    </row>
    <row r="18" spans="1:4" x14ac:dyDescent="0.3">
      <c r="A18" s="11">
        <v>9</v>
      </c>
      <c r="B18" s="12" t="s">
        <v>127</v>
      </c>
      <c r="C18" s="33">
        <v>298872254.54000002</v>
      </c>
      <c r="D18" s="56">
        <v>300000000</v>
      </c>
    </row>
    <row r="19" spans="1:4" x14ac:dyDescent="0.3">
      <c r="A19" s="11">
        <v>10</v>
      </c>
      <c r="B19" s="12" t="s">
        <v>12</v>
      </c>
      <c r="C19" s="16" t="s">
        <v>47</v>
      </c>
    </row>
    <row r="20" spans="1:4" x14ac:dyDescent="0.3">
      <c r="A20" s="11">
        <v>11</v>
      </c>
      <c r="B20" s="12" t="s">
        <v>128</v>
      </c>
      <c r="C20" s="13" t="s">
        <v>9</v>
      </c>
    </row>
    <row r="21" spans="1:4" ht="28.5" x14ac:dyDescent="0.3">
      <c r="A21" s="11">
        <v>12</v>
      </c>
      <c r="B21" s="17" t="s">
        <v>10</v>
      </c>
      <c r="C21" s="42" t="s">
        <v>75</v>
      </c>
    </row>
    <row r="22" spans="1:4" x14ac:dyDescent="0.3">
      <c r="A22" s="11">
        <v>13</v>
      </c>
      <c r="B22" s="17" t="s">
        <v>56</v>
      </c>
      <c r="C22" s="19" t="s">
        <v>57</v>
      </c>
    </row>
    <row r="23" spans="1:4" x14ac:dyDescent="0.3">
      <c r="A23" s="11">
        <v>14</v>
      </c>
      <c r="B23" s="17" t="s">
        <v>58</v>
      </c>
      <c r="C23" s="16" t="s">
        <v>74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129</v>
      </c>
      <c r="C25" s="16" t="s">
        <v>72</v>
      </c>
    </row>
    <row r="26" spans="1:4" x14ac:dyDescent="0.3">
      <c r="A26" s="11">
        <v>17</v>
      </c>
      <c r="B26" s="12" t="s">
        <v>14</v>
      </c>
      <c r="C26" s="16" t="s">
        <v>35</v>
      </c>
    </row>
    <row r="27" spans="1:4" x14ac:dyDescent="0.3">
      <c r="A27" s="11">
        <v>18</v>
      </c>
      <c r="B27" s="12" t="s">
        <v>37</v>
      </c>
      <c r="C27" s="34">
        <v>7123804.3899999997</v>
      </c>
      <c r="D27" s="32"/>
    </row>
    <row r="28" spans="1:4" x14ac:dyDescent="0.3">
      <c r="A28" s="11">
        <v>19</v>
      </c>
      <c r="B28" s="12" t="s">
        <v>132</v>
      </c>
      <c r="C28" s="34">
        <f>7281113.86+1854330.7</f>
        <v>9135444.5600000005</v>
      </c>
    </row>
    <row r="29" spans="1:4" x14ac:dyDescent="0.3">
      <c r="A29" s="11">
        <v>20</v>
      </c>
      <c r="B29" s="12" t="s">
        <v>130</v>
      </c>
      <c r="C29" s="19" t="s">
        <v>20</v>
      </c>
    </row>
    <row r="30" spans="1:4" x14ac:dyDescent="0.3">
      <c r="A30" s="11">
        <v>21</v>
      </c>
      <c r="B30" s="20" t="s">
        <v>59</v>
      </c>
      <c r="C30" s="15" t="s">
        <v>48</v>
      </c>
    </row>
    <row r="31" spans="1:4" x14ac:dyDescent="0.3">
      <c r="A31" s="11">
        <v>22</v>
      </c>
      <c r="B31" s="21" t="s">
        <v>60</v>
      </c>
      <c r="C31" s="33">
        <f>160931214.08+11495086.72+11495086.72+11495086.72</f>
        <v>195416474.24000001</v>
      </c>
    </row>
    <row r="32" spans="1:4" x14ac:dyDescent="0.3">
      <c r="A32" s="11">
        <v>23</v>
      </c>
      <c r="B32" s="21" t="s">
        <v>61</v>
      </c>
      <c r="C32" s="33">
        <f>42408029.17+1891492.88+1777171.89</f>
        <v>46076693.940000005</v>
      </c>
      <c r="D32" s="32"/>
    </row>
    <row r="33" spans="1:4" x14ac:dyDescent="0.3">
      <c r="A33" s="11">
        <v>24</v>
      </c>
      <c r="B33" s="21" t="s">
        <v>62</v>
      </c>
      <c r="C33" s="15" t="s">
        <v>20</v>
      </c>
      <c r="D33" s="32"/>
    </row>
    <row r="34" spans="1:4" x14ac:dyDescent="0.3">
      <c r="A34" s="11">
        <v>25</v>
      </c>
      <c r="B34" s="21" t="s">
        <v>63</v>
      </c>
      <c r="C34" s="33">
        <v>298872254.54000002</v>
      </c>
      <c r="D34" s="32"/>
    </row>
    <row r="35" spans="1:4" ht="28.5" x14ac:dyDescent="0.3">
      <c r="A35" s="11">
        <v>26</v>
      </c>
      <c r="B35" s="21" t="s">
        <v>133</v>
      </c>
      <c r="C35" s="33">
        <v>0</v>
      </c>
      <c r="D35" s="32"/>
    </row>
    <row r="36" spans="1:4" ht="28.5" x14ac:dyDescent="0.3">
      <c r="A36" s="11">
        <v>27</v>
      </c>
      <c r="B36" s="20" t="s">
        <v>134</v>
      </c>
      <c r="C36" s="33">
        <f>C18-C31</f>
        <v>103455780.30000001</v>
      </c>
      <c r="D36" s="32"/>
    </row>
    <row r="37" spans="1:4" x14ac:dyDescent="0.3">
      <c r="A37" s="11">
        <v>28</v>
      </c>
      <c r="B37" s="20" t="s">
        <v>19</v>
      </c>
      <c r="C37" s="13" t="s">
        <v>20</v>
      </c>
      <c r="D37" s="32"/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64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65</v>
      </c>
      <c r="C41" s="13" t="s">
        <v>20</v>
      </c>
    </row>
    <row r="42" spans="1:4" x14ac:dyDescent="0.3">
      <c r="A42" s="11">
        <v>33</v>
      </c>
      <c r="B42" s="20" t="s">
        <v>24</v>
      </c>
      <c r="C42" s="13" t="s">
        <v>49</v>
      </c>
    </row>
    <row r="43" spans="1:4" x14ac:dyDescent="0.3">
      <c r="A43" s="11">
        <v>34</v>
      </c>
      <c r="B43" s="20" t="s">
        <v>131</v>
      </c>
      <c r="C43" s="13" t="s">
        <v>20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34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15'!B48</f>
        <v>EVELYN G. ESPRA, MPA</v>
      </c>
      <c r="C48" s="37">
        <f>'TL 15'!C48</f>
        <v>45338</v>
      </c>
    </row>
    <row r="49" spans="1:3" x14ac:dyDescent="0.3">
      <c r="A49" s="25"/>
      <c r="B49" s="25" t="str">
        <f>'TL 15'!B49</f>
        <v>Provincial Treasurer</v>
      </c>
      <c r="C49" s="36"/>
    </row>
  </sheetData>
  <mergeCells count="1">
    <mergeCell ref="A4:C4"/>
  </mergeCells>
  <pageMargins left="0.2" right="0.2" top="0.25" bottom="0.25" header="0.3" footer="0.3"/>
  <pageSetup paperSize="14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topLeftCell="A35" zoomScale="112" zoomScaleNormal="112" workbookViewId="0">
      <selection activeCell="F35" sqref="F35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38.28515625" style="7" hidden="1" customWidth="1"/>
    <col min="5" max="5" width="9.140625" style="7"/>
    <col min="6" max="6" width="21.85546875" style="7" customWidth="1"/>
    <col min="7" max="16384" width="9.140625" style="7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x14ac:dyDescent="0.3">
      <c r="A4" s="70" t="s">
        <v>144</v>
      </c>
      <c r="B4" s="71"/>
      <c r="C4" s="72"/>
    </row>
    <row r="5" spans="1:3" x14ac:dyDescent="0.3">
      <c r="A5" s="47"/>
      <c r="B5" s="48"/>
      <c r="C5" s="49"/>
    </row>
    <row r="6" spans="1:3" x14ac:dyDescent="0.3">
      <c r="A6" s="50" t="s">
        <v>139</v>
      </c>
      <c r="B6" s="51" t="s">
        <v>141</v>
      </c>
      <c r="C6" s="52" t="s">
        <v>143</v>
      </c>
    </row>
    <row r="7" spans="1:3" x14ac:dyDescent="0.3">
      <c r="A7" s="50" t="s">
        <v>140</v>
      </c>
      <c r="B7" s="51" t="s">
        <v>142</v>
      </c>
      <c r="C7" s="52" t="s">
        <v>145</v>
      </c>
    </row>
    <row r="8" spans="1:3" x14ac:dyDescent="0.3">
      <c r="A8" s="53"/>
      <c r="B8" s="8"/>
      <c r="C8" s="54"/>
    </row>
    <row r="9" spans="1:3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15'!C11</f>
        <v>Ending December 31, 2023</v>
      </c>
    </row>
    <row r="12" spans="1:3" x14ac:dyDescent="0.3">
      <c r="A12" s="11">
        <v>3</v>
      </c>
      <c r="B12" s="12" t="s">
        <v>124</v>
      </c>
      <c r="C12" s="13" t="s">
        <v>5</v>
      </c>
    </row>
    <row r="13" spans="1:3" x14ac:dyDescent="0.3">
      <c r="A13" s="11">
        <v>4</v>
      </c>
      <c r="B13" s="12" t="s">
        <v>125</v>
      </c>
      <c r="C13" s="13" t="s">
        <v>44</v>
      </c>
    </row>
    <row r="14" spans="1:3" x14ac:dyDescent="0.3">
      <c r="A14" s="11">
        <v>5</v>
      </c>
      <c r="B14" s="12" t="s">
        <v>6</v>
      </c>
      <c r="C14" s="15" t="s">
        <v>45</v>
      </c>
    </row>
    <row r="15" spans="1:3" x14ac:dyDescent="0.3">
      <c r="A15" s="11">
        <v>6</v>
      </c>
      <c r="B15" s="12" t="s">
        <v>126</v>
      </c>
      <c r="C15" s="13" t="s">
        <v>42</v>
      </c>
    </row>
    <row r="16" spans="1:3" x14ac:dyDescent="0.3">
      <c r="A16" s="11">
        <v>7</v>
      </c>
      <c r="B16" s="12" t="s">
        <v>7</v>
      </c>
      <c r="C16" s="15" t="s">
        <v>43</v>
      </c>
    </row>
    <row r="17" spans="1:6" x14ac:dyDescent="0.3">
      <c r="A17" s="11">
        <v>8</v>
      </c>
      <c r="B17" s="12" t="s">
        <v>8</v>
      </c>
      <c r="C17" s="15" t="s">
        <v>46</v>
      </c>
    </row>
    <row r="18" spans="1:6" x14ac:dyDescent="0.3">
      <c r="A18" s="11">
        <v>9</v>
      </c>
      <c r="B18" s="12" t="s">
        <v>127</v>
      </c>
      <c r="C18" s="13" t="s">
        <v>100</v>
      </c>
      <c r="D18" s="32">
        <v>200000000</v>
      </c>
    </row>
    <row r="19" spans="1:6" x14ac:dyDescent="0.3">
      <c r="A19" s="11">
        <v>10</v>
      </c>
      <c r="B19" s="12" t="s">
        <v>12</v>
      </c>
      <c r="C19" s="16" t="s">
        <v>118</v>
      </c>
    </row>
    <row r="20" spans="1:6" x14ac:dyDescent="0.3">
      <c r="A20" s="11">
        <v>11</v>
      </c>
      <c r="B20" s="12" t="s">
        <v>128</v>
      </c>
      <c r="C20" s="13" t="s">
        <v>9</v>
      </c>
    </row>
    <row r="21" spans="1:6" x14ac:dyDescent="0.3">
      <c r="A21" s="11">
        <v>12</v>
      </c>
      <c r="B21" s="17" t="s">
        <v>10</v>
      </c>
      <c r="C21" s="42" t="s">
        <v>116</v>
      </c>
    </row>
    <row r="22" spans="1:6" x14ac:dyDescent="0.3">
      <c r="A22" s="11">
        <v>13</v>
      </c>
      <c r="B22" s="17" t="s">
        <v>56</v>
      </c>
      <c r="C22" s="19" t="s">
        <v>57</v>
      </c>
    </row>
    <row r="23" spans="1:6" x14ac:dyDescent="0.3">
      <c r="A23" s="11">
        <v>14</v>
      </c>
      <c r="B23" s="17" t="s">
        <v>58</v>
      </c>
      <c r="C23" s="16" t="s">
        <v>117</v>
      </c>
    </row>
    <row r="24" spans="1:6" ht="28.5" x14ac:dyDescent="0.3">
      <c r="A24" s="11">
        <v>15</v>
      </c>
      <c r="B24" s="17" t="s">
        <v>13</v>
      </c>
      <c r="C24" s="18" t="s">
        <v>17</v>
      </c>
    </row>
    <row r="25" spans="1:6" x14ac:dyDescent="0.3">
      <c r="A25" s="11">
        <v>16</v>
      </c>
      <c r="B25" s="12" t="s">
        <v>129</v>
      </c>
      <c r="C25" s="16" t="s">
        <v>15</v>
      </c>
    </row>
    <row r="26" spans="1:6" x14ac:dyDescent="0.3">
      <c r="A26" s="11">
        <v>17</v>
      </c>
      <c r="B26" s="12" t="s">
        <v>14</v>
      </c>
      <c r="C26" s="16" t="s">
        <v>35</v>
      </c>
    </row>
    <row r="27" spans="1:6" x14ac:dyDescent="0.3">
      <c r="A27" s="11">
        <v>18</v>
      </c>
      <c r="B27" s="12" t="s">
        <v>37</v>
      </c>
      <c r="C27" s="33">
        <v>0</v>
      </c>
    </row>
    <row r="28" spans="1:6" x14ac:dyDescent="0.3">
      <c r="A28" s="11">
        <v>19</v>
      </c>
      <c r="B28" s="12" t="s">
        <v>132</v>
      </c>
      <c r="C28" s="34">
        <v>8935860.4399999995</v>
      </c>
    </row>
    <row r="29" spans="1:6" x14ac:dyDescent="0.3">
      <c r="A29" s="11">
        <v>20</v>
      </c>
      <c r="B29" s="12" t="s">
        <v>130</v>
      </c>
      <c r="C29" s="19" t="s">
        <v>20</v>
      </c>
    </row>
    <row r="30" spans="1:6" x14ac:dyDescent="0.3">
      <c r="A30" s="11">
        <v>21</v>
      </c>
      <c r="B30" s="20" t="s">
        <v>59</v>
      </c>
      <c r="C30" s="15" t="s">
        <v>119</v>
      </c>
      <c r="F30" s="32"/>
    </row>
    <row r="31" spans="1:6" x14ac:dyDescent="0.3">
      <c r="A31" s="11">
        <v>22</v>
      </c>
      <c r="B31" s="21" t="s">
        <v>60</v>
      </c>
      <c r="C31" s="33">
        <v>0</v>
      </c>
      <c r="F31" s="32"/>
    </row>
    <row r="32" spans="1:6" x14ac:dyDescent="0.3">
      <c r="A32" s="11">
        <v>23</v>
      </c>
      <c r="B32" s="21" t="s">
        <v>61</v>
      </c>
      <c r="C32" s="33">
        <f>8364729.05+2473571.64</f>
        <v>10838300.689999999</v>
      </c>
      <c r="D32" s="32"/>
      <c r="F32" s="63"/>
    </row>
    <row r="33" spans="1:6" x14ac:dyDescent="0.3">
      <c r="A33" s="11">
        <v>24</v>
      </c>
      <c r="B33" s="21" t="s">
        <v>62</v>
      </c>
      <c r="C33" s="15" t="s">
        <v>20</v>
      </c>
      <c r="D33" s="32"/>
      <c r="F33" s="64"/>
    </row>
    <row r="34" spans="1:6" x14ac:dyDescent="0.3">
      <c r="A34" s="11">
        <v>25</v>
      </c>
      <c r="B34" s="21" t="s">
        <v>63</v>
      </c>
      <c r="C34" s="33">
        <f>149493660.81+7435032.56+13402102.87+10734139.5</f>
        <v>181064935.74000001</v>
      </c>
      <c r="D34" s="32"/>
    </row>
    <row r="35" spans="1:6" ht="28.5" x14ac:dyDescent="0.3">
      <c r="A35" s="11">
        <v>26</v>
      </c>
      <c r="B35" s="21" t="s">
        <v>133</v>
      </c>
      <c r="C35" s="33">
        <f>D18-C34</f>
        <v>18935064.25999999</v>
      </c>
      <c r="D35" s="32"/>
      <c r="F35" s="68">
        <f>C34-C31</f>
        <v>181064935.74000001</v>
      </c>
    </row>
    <row r="36" spans="1:6" ht="28.5" x14ac:dyDescent="0.3">
      <c r="A36" s="11">
        <v>27</v>
      </c>
      <c r="B36" s="20" t="s">
        <v>134</v>
      </c>
      <c r="C36" s="33">
        <f>D18-C31</f>
        <v>200000000</v>
      </c>
      <c r="D36" s="32"/>
    </row>
    <row r="37" spans="1:6" x14ac:dyDescent="0.3">
      <c r="A37" s="11">
        <v>28</v>
      </c>
      <c r="B37" s="20" t="s">
        <v>19</v>
      </c>
      <c r="C37" s="13" t="s">
        <v>20</v>
      </c>
      <c r="D37" s="32"/>
    </row>
    <row r="38" spans="1:6" x14ac:dyDescent="0.3">
      <c r="A38" s="11">
        <v>29</v>
      </c>
      <c r="B38" s="20" t="s">
        <v>21</v>
      </c>
      <c r="C38" s="13" t="s">
        <v>20</v>
      </c>
    </row>
    <row r="39" spans="1:6" x14ac:dyDescent="0.3">
      <c r="A39" s="11">
        <v>30</v>
      </c>
      <c r="B39" s="20" t="s">
        <v>22</v>
      </c>
      <c r="C39" s="13" t="s">
        <v>64</v>
      </c>
    </row>
    <row r="40" spans="1:6" x14ac:dyDescent="0.3">
      <c r="A40" s="11">
        <v>31</v>
      </c>
      <c r="B40" s="20" t="s">
        <v>23</v>
      </c>
      <c r="C40" s="13" t="s">
        <v>20</v>
      </c>
    </row>
    <row r="41" spans="1:6" x14ac:dyDescent="0.3">
      <c r="A41" s="11">
        <v>32</v>
      </c>
      <c r="B41" s="20" t="s">
        <v>65</v>
      </c>
      <c r="C41" s="13" t="s">
        <v>20</v>
      </c>
    </row>
    <row r="42" spans="1:6" x14ac:dyDescent="0.3">
      <c r="A42" s="11">
        <v>33</v>
      </c>
      <c r="B42" s="20" t="s">
        <v>24</v>
      </c>
      <c r="C42" s="33">
        <f>1121218.5+55764+100518+80509.5</f>
        <v>1358010</v>
      </c>
    </row>
    <row r="43" spans="1:6" x14ac:dyDescent="0.3">
      <c r="A43" s="11">
        <v>34</v>
      </c>
      <c r="B43" s="20" t="s">
        <v>131</v>
      </c>
      <c r="C43" s="13" t="s">
        <v>20</v>
      </c>
    </row>
    <row r="44" spans="1:6" x14ac:dyDescent="0.3">
      <c r="A44" s="22"/>
      <c r="B44" s="23"/>
      <c r="C44" s="24"/>
    </row>
    <row r="45" spans="1:6" x14ac:dyDescent="0.3">
      <c r="A45" s="25"/>
      <c r="B45" s="26" t="s">
        <v>34</v>
      </c>
      <c r="C45" s="27" t="s">
        <v>25</v>
      </c>
    </row>
    <row r="46" spans="1:6" x14ac:dyDescent="0.3">
      <c r="A46" s="25"/>
      <c r="B46" s="26"/>
      <c r="C46" s="36"/>
    </row>
    <row r="47" spans="1:6" x14ac:dyDescent="0.3">
      <c r="A47" s="25"/>
      <c r="B47" s="26"/>
      <c r="C47" s="36"/>
    </row>
    <row r="48" spans="1:6" x14ac:dyDescent="0.3">
      <c r="A48" s="25"/>
      <c r="B48" s="28" t="str">
        <f>'TL 15'!B48</f>
        <v>EVELYN G. ESPRA, MPA</v>
      </c>
      <c r="C48" s="37">
        <f>'TL 15'!C48</f>
        <v>45338</v>
      </c>
    </row>
    <row r="49" spans="1:3" x14ac:dyDescent="0.3">
      <c r="A49" s="25"/>
      <c r="B49" s="25" t="str">
        <f>'TL 15'!B49</f>
        <v>Provincial Treasurer</v>
      </c>
      <c r="C49" s="36"/>
    </row>
  </sheetData>
  <mergeCells count="1">
    <mergeCell ref="A4:C4"/>
  </mergeCells>
  <pageMargins left="0.2" right="0.2" top="0.25" bottom="0.25" header="0.3" footer="0.3"/>
  <pageSetup paperSize="14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0"/>
  <sheetViews>
    <sheetView topLeftCell="A21" zoomScale="106" zoomScaleNormal="106" workbookViewId="0">
      <selection activeCell="D35" sqref="D35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27.28515625" style="1" customWidth="1"/>
    <col min="5" max="5" width="25" style="1" customWidth="1"/>
    <col min="6" max="16384" width="9.140625" style="1"/>
  </cols>
  <sheetData>
    <row r="1" spans="1:3" s="46" customFormat="1" ht="9" x14ac:dyDescent="0.25">
      <c r="A1" s="46" t="s">
        <v>137</v>
      </c>
    </row>
    <row r="2" spans="1:3" s="46" customFormat="1" ht="9" x14ac:dyDescent="0.25">
      <c r="A2" s="46" t="s">
        <v>138</v>
      </c>
    </row>
    <row r="3" spans="1:3" s="46" customFormat="1" ht="9" x14ac:dyDescent="0.25"/>
    <row r="4" spans="1:3" s="7" customFormat="1" ht="16.5" x14ac:dyDescent="0.3">
      <c r="A4" s="70" t="s">
        <v>144</v>
      </c>
      <c r="B4" s="71"/>
      <c r="C4" s="72"/>
    </row>
    <row r="5" spans="1:3" s="7" customFormat="1" ht="16.5" x14ac:dyDescent="0.3">
      <c r="A5" s="47"/>
      <c r="B5" s="48"/>
      <c r="C5" s="49"/>
    </row>
    <row r="6" spans="1:3" s="7" customFormat="1" ht="16.5" x14ac:dyDescent="0.3">
      <c r="A6" s="50" t="s">
        <v>139</v>
      </c>
      <c r="B6" s="51" t="s">
        <v>141</v>
      </c>
      <c r="C6" s="52" t="s">
        <v>143</v>
      </c>
    </row>
    <row r="7" spans="1:3" s="7" customFormat="1" ht="16.5" x14ac:dyDescent="0.3">
      <c r="A7" s="50" t="s">
        <v>140</v>
      </c>
      <c r="B7" s="51" t="s">
        <v>142</v>
      </c>
      <c r="C7" s="52" t="s">
        <v>145</v>
      </c>
    </row>
    <row r="8" spans="1:3" s="7" customFormat="1" ht="16.5" x14ac:dyDescent="0.3">
      <c r="A8" s="53"/>
      <c r="B8" s="8"/>
      <c r="C8" s="54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16'!C11</f>
        <v>Ending December 31, 2023</v>
      </c>
    </row>
    <row r="12" spans="1:3" ht="15.75" x14ac:dyDescent="0.3">
      <c r="A12" s="11">
        <v>3</v>
      </c>
      <c r="B12" s="12" t="s">
        <v>124</v>
      </c>
      <c r="C12" s="13" t="s">
        <v>5</v>
      </c>
    </row>
    <row r="13" spans="1:3" ht="15.75" x14ac:dyDescent="0.3">
      <c r="A13" s="11">
        <v>4</v>
      </c>
      <c r="B13" s="12" t="s">
        <v>125</v>
      </c>
      <c r="C13" s="13" t="s">
        <v>44</v>
      </c>
    </row>
    <row r="14" spans="1:3" ht="15.75" x14ac:dyDescent="0.3">
      <c r="A14" s="11">
        <v>5</v>
      </c>
      <c r="B14" s="12" t="s">
        <v>6</v>
      </c>
      <c r="C14" s="15" t="s">
        <v>45</v>
      </c>
    </row>
    <row r="15" spans="1:3" ht="15.75" x14ac:dyDescent="0.3">
      <c r="A15" s="11">
        <v>6</v>
      </c>
      <c r="B15" s="12" t="s">
        <v>126</v>
      </c>
      <c r="C15" s="13" t="s">
        <v>42</v>
      </c>
    </row>
    <row r="16" spans="1:3" ht="15.75" x14ac:dyDescent="0.3">
      <c r="A16" s="11">
        <v>7</v>
      </c>
      <c r="B16" s="12" t="s">
        <v>7</v>
      </c>
      <c r="C16" s="15" t="s">
        <v>43</v>
      </c>
    </row>
    <row r="17" spans="1:4" ht="15.75" x14ac:dyDescent="0.3">
      <c r="A17" s="11">
        <v>8</v>
      </c>
      <c r="B17" s="12" t="s">
        <v>8</v>
      </c>
      <c r="C17" s="15" t="s">
        <v>46</v>
      </c>
    </row>
    <row r="18" spans="1:4" ht="16.5" x14ac:dyDescent="0.3">
      <c r="A18" s="11">
        <v>9</v>
      </c>
      <c r="B18" s="12" t="s">
        <v>127</v>
      </c>
      <c r="C18" s="33">
        <v>149864644.25999999</v>
      </c>
      <c r="D18" s="60">
        <v>150000000</v>
      </c>
    </row>
    <row r="19" spans="1:4" ht="15.75" x14ac:dyDescent="0.3">
      <c r="A19" s="11">
        <v>10</v>
      </c>
      <c r="B19" s="12" t="s">
        <v>12</v>
      </c>
      <c r="C19" s="16" t="s">
        <v>81</v>
      </c>
    </row>
    <row r="20" spans="1:4" ht="15.75" x14ac:dyDescent="0.3">
      <c r="A20" s="11">
        <v>11</v>
      </c>
      <c r="B20" s="12" t="s">
        <v>128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50</v>
      </c>
    </row>
    <row r="22" spans="1:4" x14ac:dyDescent="0.2">
      <c r="A22" s="11">
        <v>13</v>
      </c>
      <c r="B22" s="17" t="s">
        <v>56</v>
      </c>
      <c r="C22" s="19" t="s">
        <v>57</v>
      </c>
    </row>
    <row r="23" spans="1:4" x14ac:dyDescent="0.2">
      <c r="A23" s="11">
        <v>14</v>
      </c>
      <c r="B23" s="17" t="s">
        <v>58</v>
      </c>
      <c r="C23" s="16" t="s">
        <v>11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129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35</v>
      </c>
    </row>
    <row r="27" spans="1:4" ht="15.75" x14ac:dyDescent="0.3">
      <c r="A27" s="11">
        <v>18</v>
      </c>
      <c r="B27" s="12" t="s">
        <v>37</v>
      </c>
      <c r="C27" s="34">
        <f>17168668.08+4755696.65</f>
        <v>21924364.729999997</v>
      </c>
    </row>
    <row r="28" spans="1:4" ht="15.75" x14ac:dyDescent="0.3">
      <c r="A28" s="11">
        <v>19</v>
      </c>
      <c r="B28" s="12" t="s">
        <v>132</v>
      </c>
      <c r="C28" s="34">
        <f>6861993.23+1986762.53</f>
        <v>8848755.7599999998</v>
      </c>
      <c r="D28" s="59"/>
    </row>
    <row r="29" spans="1:4" ht="15.75" x14ac:dyDescent="0.3">
      <c r="A29" s="11">
        <v>20</v>
      </c>
      <c r="B29" s="12" t="s">
        <v>130</v>
      </c>
      <c r="C29" s="19" t="s">
        <v>20</v>
      </c>
      <c r="D29" s="59"/>
    </row>
    <row r="30" spans="1:4" x14ac:dyDescent="0.2">
      <c r="A30" s="11">
        <v>21</v>
      </c>
      <c r="B30" s="20" t="s">
        <v>59</v>
      </c>
      <c r="C30" s="14" t="s">
        <v>68</v>
      </c>
      <c r="D30" s="45"/>
    </row>
    <row r="31" spans="1:4" ht="15.75" x14ac:dyDescent="0.3">
      <c r="A31" s="11">
        <v>22</v>
      </c>
      <c r="B31" s="21" t="s">
        <v>60</v>
      </c>
      <c r="C31" s="33">
        <f>21460835.1+4755696.65</f>
        <v>26216531.75</v>
      </c>
      <c r="D31" s="45"/>
    </row>
    <row r="32" spans="1:4" ht="15.75" x14ac:dyDescent="0.3">
      <c r="A32" s="11">
        <v>23</v>
      </c>
      <c r="B32" s="21" t="s">
        <v>61</v>
      </c>
      <c r="C32" s="33">
        <f>14056324.18+1986762.53</f>
        <v>16043086.709999999</v>
      </c>
      <c r="D32" s="45"/>
    </row>
    <row r="33" spans="1:5" ht="15.75" x14ac:dyDescent="0.3">
      <c r="A33" s="11">
        <v>24</v>
      </c>
      <c r="B33" s="21" t="s">
        <v>62</v>
      </c>
      <c r="C33" s="15" t="s">
        <v>20</v>
      </c>
      <c r="D33" s="45"/>
    </row>
    <row r="34" spans="1:5" ht="15.75" x14ac:dyDescent="0.3">
      <c r="A34" s="11">
        <v>25</v>
      </c>
      <c r="B34" s="21" t="s">
        <v>63</v>
      </c>
      <c r="C34" s="33">
        <v>149864644.25999999</v>
      </c>
      <c r="D34" s="61"/>
    </row>
    <row r="35" spans="1:5" ht="28.5" x14ac:dyDescent="0.3">
      <c r="A35" s="11">
        <v>26</v>
      </c>
      <c r="B35" s="21" t="s">
        <v>133</v>
      </c>
      <c r="C35" s="33">
        <v>0</v>
      </c>
      <c r="D35" s="62"/>
    </row>
    <row r="36" spans="1:5" ht="26.25" customHeight="1" x14ac:dyDescent="0.2">
      <c r="A36" s="11">
        <v>27</v>
      </c>
      <c r="B36" s="20" t="s">
        <v>134</v>
      </c>
      <c r="C36" s="33">
        <f>C18-C31</f>
        <v>123648112.50999999</v>
      </c>
      <c r="D36" s="66"/>
      <c r="E36" s="66"/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64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65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1030123.5+93865.5</f>
        <v>1123989</v>
      </c>
    </row>
    <row r="43" spans="1:5" x14ac:dyDescent="0.2">
      <c r="A43" s="11">
        <v>34</v>
      </c>
      <c r="B43" s="20" t="s">
        <v>131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34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tr">
        <f>'TL 16'!B48</f>
        <v>EVELYN G. ESPRA, MPA</v>
      </c>
      <c r="C48" s="37">
        <f>'TL 15'!C48</f>
        <v>45338</v>
      </c>
    </row>
    <row r="49" spans="1:3" ht="15.75" x14ac:dyDescent="0.3">
      <c r="A49" s="2"/>
      <c r="B49" s="25" t="str">
        <f>'TL 16'!B49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2" right="0.2" top="0.5" bottom="0.2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TL 5-Paid</vt:lpstr>
      <vt:lpstr>TL 11</vt:lpstr>
      <vt:lpstr>TL 12</vt:lpstr>
      <vt:lpstr>TL 13</vt:lpstr>
      <vt:lpstr>TL 14</vt:lpstr>
      <vt:lpstr>TL 15</vt:lpstr>
      <vt:lpstr>TL 16</vt:lpstr>
      <vt:lpstr>TL 17</vt:lpstr>
      <vt:lpstr>TL 18 </vt:lpstr>
      <vt:lpstr>TL 19</vt:lpstr>
      <vt:lpstr>TL 20</vt:lpstr>
      <vt:lpstr>TL 22</vt:lpstr>
      <vt:lpstr>TL 23</vt:lpstr>
      <vt:lpstr>TL 24</vt:lpstr>
      <vt:lpstr>TL 26</vt:lpstr>
      <vt:lpstr>TL 27</vt:lpstr>
      <vt:lpstr>TL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khomaryknoll@gmail.com</cp:lastModifiedBy>
  <cp:lastPrinted>2023-10-09T02:28:38Z</cp:lastPrinted>
  <dcterms:created xsi:type="dcterms:W3CDTF">2018-02-09T06:48:46Z</dcterms:created>
  <dcterms:modified xsi:type="dcterms:W3CDTF">2024-02-28T08:40:12Z</dcterms:modified>
</cp:coreProperties>
</file>